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50" windowHeight="8190" tabRatio="898" firstSheet="2" activeTab="4"/>
  </bookViews>
  <sheets>
    <sheet name="Anexo 1 _ BAL ORC" sheetId="1" r:id="rId1"/>
    <sheet name="Anexo 2 _ DP FUNC" sheetId="2" r:id="rId2"/>
    <sheet name="Anexo 3 _ RCL" sheetId="3" r:id="rId3"/>
    <sheet name="Anexo 4 _ PREVID " sheetId="4" r:id="rId4"/>
    <sheet name="Anexo 5 _ RES NOM" sheetId="5" r:id="rId5"/>
    <sheet name="Anexo 6 _ RES PRIM" sheetId="6" r:id="rId6"/>
    <sheet name="Anexo XII_PROJ AT REG GERAL HIP" sheetId="7" state="hidden" r:id="rId7"/>
    <sheet name="Anexo 7 _  RP" sheetId="8" r:id="rId8"/>
    <sheet name="Anexo 8 _ ENSINO" sheetId="9" r:id="rId9"/>
    <sheet name="Anexo 12 _ SAÚDE " sheetId="10" r:id="rId10"/>
    <sheet name="Anexo 13 _PPP" sheetId="11" r:id="rId11"/>
    <sheet name="Anexo 14 _ Simplificad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0Planilha_2TítCols_6_1" localSheetId="10">(#REF!,#REF!)</definedName>
    <definedName name="_10Planilha_2TítCols_6_1">(#REF!,#REF!)</definedName>
    <definedName name="_11Planilha_2TítLins_6_1" localSheetId="10">#REF!</definedName>
    <definedName name="_11Planilha_2TítLins_6_1">#REF!</definedName>
    <definedName name="_12Planilha_3ÁreaTotal_6_1" localSheetId="10">(#REF!,#REF!)</definedName>
    <definedName name="_12Planilha_3ÁreaTotal_6_1">(#REF!,#REF!)</definedName>
    <definedName name="_13Planilha_3CabGráfico_6_1" localSheetId="10">#REF!</definedName>
    <definedName name="_13Planilha_3CabGráfico_6_1">#REF!</definedName>
    <definedName name="_14Planilha_3TítCols_6_1" localSheetId="10">(#REF!,#REF!)</definedName>
    <definedName name="_14Planilha_3TítCols_6_1">(#REF!,#REF!)</definedName>
    <definedName name="_15Planilha_3TítLins_6_1" localSheetId="10">#REF!</definedName>
    <definedName name="_15Planilha_3TítLins_6_1">#REF!</definedName>
    <definedName name="_16Tabela_1___Déficit_da_Previdência_Social__RGPS_6_1" localSheetId="10">#REF!</definedName>
    <definedName name="_16Tabela_1___Déficit_da_Previdência_Social__RGPS_6_1">#REF!</definedName>
    <definedName name="_17Tabela_10___Resultado_Primário_do_Governo_Central_em_1999_6_1" localSheetId="10">#REF!</definedName>
    <definedName name="_17Tabela_10___Resultado_Primário_do_Governo_Central_em_1999_6_1">#REF!</definedName>
    <definedName name="_18Tabela_2___Contribuições_Previdenciárias_6_1" localSheetId="10">#REF!</definedName>
    <definedName name="_18Tabela_2___Contribuições_Previdenciárias_6_1">#REF!</definedName>
    <definedName name="_19Tabela_3___Benefícios__previsto_x_realizado_6_1" localSheetId="10">#REF!</definedName>
    <definedName name="_19Tabela_3___Benefícios__previsto_x_realizado_6_1">#REF!</definedName>
    <definedName name="_1Excel_BuiltIn_Print_Area_11_1" localSheetId="10">#REF!</definedName>
    <definedName name="_1Excel_BuiltIn_Print_Area_11_1">#REF!</definedName>
    <definedName name="_20Tabela_4___Receitas_Administradas_pela_SRF__previsto_x_realizado_6_1" localSheetId="10">#REF!</definedName>
    <definedName name="_20Tabela_4___Receitas_Administradas_pela_SRF__previsto_x_realizado_6_1">#REF!</definedName>
    <definedName name="_21Tabela_5___Receitas_Administradas_em_Agosto_6_1" localSheetId="10">#REF!</definedName>
    <definedName name="_21Tabela_5___Receitas_Administradas_em_Agosto_6_1">#REF!</definedName>
    <definedName name="_22Tabela_6___Receitas_Diretamente_Arrecadadas_6_1" localSheetId="10">#REF!</definedName>
    <definedName name="_22Tabela_6___Receitas_Diretamente_Arrecadadas_6_1">#REF!</definedName>
    <definedName name="_23Tabela_7___Déficit_da_Previdência_Social_em_1999_6_1" localSheetId="10">#REF!</definedName>
    <definedName name="_23Tabela_7___Déficit_da_Previdência_Social_em_1999_6_1">#REF!</definedName>
    <definedName name="_24Tabela_8___Receitas_Administradas__revisão_da_previsão_6_1" localSheetId="10">#REF!</definedName>
    <definedName name="_24Tabela_8___Receitas_Administradas__revisão_da_previsão_6_1">#REF!</definedName>
    <definedName name="_25Tabela_9___Resultado_Primário_de_1999_6_1" localSheetId="10">#REF!</definedName>
    <definedName name="_25Tabela_9___Resultado_Primário_de_1999_6_1">#REF!</definedName>
    <definedName name="_2Ganhos_e_perdas_de_receita_6_1" localSheetId="10">#REF!</definedName>
    <definedName name="_2Ganhos_e_perdas_de_receita_6_1">#REF!</definedName>
    <definedName name="_3Ganhos_e_Perdas_de_Receita_99_6_1" localSheetId="10">#REF!</definedName>
    <definedName name="_3Ganhos_e_Perdas_de_Receita_99_6_1">#REF!</definedName>
    <definedName name="_4Planilha_1ÁreaTotal_6_1" localSheetId="10">(#REF!,#REF!)</definedName>
    <definedName name="_4Planilha_1ÁreaTotal_6_1">(#REF!,#REF!)</definedName>
    <definedName name="_5Planilha_1CabGráfico_6_1" localSheetId="10">#REF!</definedName>
    <definedName name="_5Planilha_1CabGráfico_6_1">#REF!</definedName>
    <definedName name="_6Planilha_1TítCols_6_1" localSheetId="10">(#REF!,#REF!)</definedName>
    <definedName name="_6Planilha_1TítCols_6_1">(#REF!,#REF!)</definedName>
    <definedName name="_7Planilha_1TítLins_6_1" localSheetId="10">#REF!</definedName>
    <definedName name="_7Planilha_1TítLins_6_1">#REF!</definedName>
    <definedName name="_8Planilha_2ÁreaTotal_6_1" localSheetId="10">(#REF!,#REF!)</definedName>
    <definedName name="_8Planilha_2ÁreaTotal_6_1">(#REF!,#REF!)</definedName>
    <definedName name="_9Planilha_2CabGráfico_6_1" localSheetId="10">#REF!</definedName>
    <definedName name="_9Planilha_2CabGráfico_6_1">#REF!</definedName>
    <definedName name="_xlfn.BAHTTEXT" hidden="1">#NAME?</definedName>
    <definedName name="_xlnm.Print_Area" localSheetId="0">'Anexo 1 _ BAL ORC'!$A$1:$K$134</definedName>
    <definedName name="_xlnm.Print_Area" localSheetId="10">'Anexo 13 _PPP'!$A$1:$X$47</definedName>
    <definedName name="_xlnm.Print_Area" localSheetId="11">'Anexo 14 _ Simplificado'!$A$1:$E$137</definedName>
    <definedName name="_xlnm.Print_Area" localSheetId="1">'Anexo 2 _ DP FUNC'!$A$1:$M$151</definedName>
    <definedName name="_xlnm.Print_Area" localSheetId="2">'Anexo 3 _ RCL'!$A$1:$Q$47</definedName>
    <definedName name="_xlnm.Print_Area" localSheetId="3">'Anexo 4 _ PREVID '!$A$1:$J$150</definedName>
    <definedName name="_xlnm.Print_Area" localSheetId="4">'Anexo 5 _ RES NOM'!$A$1:$G$58</definedName>
    <definedName name="_xlnm.Print_Area" localSheetId="5">'Anexo 6 _ RES PRIM'!$A$1:$P$82</definedName>
    <definedName name="_xlnm.Print_Area" localSheetId="7">'Anexo 7 _  RP'!$A$1:$M$73</definedName>
    <definedName name="_xlnm.Print_Area" localSheetId="8">'Anexo 8 _ ENSINO'!$A$1:$I$211</definedName>
    <definedName name="Detalhes_do_Demonstrativo_MDE" localSheetId="10">#REF!</definedName>
    <definedName name="Detalhes_do_Demonstrativo_MDE">#REF!</definedName>
    <definedName name="Detalhes_do_Demonstrativo_MDE_10" localSheetId="10">#REF!</definedName>
    <definedName name="Detalhes_do_Demonstrativo_MDE_10" localSheetId="8">'Anexo 8 _ ENSINO'!#REF!</definedName>
    <definedName name="Detalhes_do_Demonstrativo_MDE_10">#REF!</definedName>
    <definedName name="Detalhes_do_Demonstrativo_MDE_11" localSheetId="10">'[2]Anexo X _ ENSINO'!#REF!</definedName>
    <definedName name="Detalhes_do_Demonstrativo_MDE_11" localSheetId="8">'[1]Anexo X _ ENSINO'!#REF!</definedName>
    <definedName name="Detalhes_do_Demonstrativo_MDE_11">'[2]Anexo X _ ENSINO'!#REF!</definedName>
    <definedName name="Detalhes_do_Demonstrativo_MDE_12" localSheetId="10">'[4]Anexo X _ ENSINO'!#REF!</definedName>
    <definedName name="Detalhes_do_Demonstrativo_MDE_12" localSheetId="8">'[3]Anexo X _ ENSINO'!#REF!</definedName>
    <definedName name="Detalhes_do_Demonstrativo_MDE_12">'[4]Anexo X _ ENSINO'!#REF!</definedName>
    <definedName name="Detalhes_do_Demonstrativo_MDE_13" localSheetId="10">'[2]Anexo X _ ENSINO'!#REF!</definedName>
    <definedName name="Detalhes_do_Demonstrativo_MDE_13" localSheetId="8">'[1]Anexo X _ ENSINO'!#REF!</definedName>
    <definedName name="Detalhes_do_Demonstrativo_MDE_13">'[2]Anexo X _ ENSINO'!#REF!</definedName>
    <definedName name="Detalhes_do_Demonstrativo_MDE_14" localSheetId="10">'[6]Anexo X _ ENSINO'!#REF!</definedName>
    <definedName name="Detalhes_do_Demonstrativo_MDE_14" localSheetId="8">'[5]Anexo X _ ENSINO'!#REF!</definedName>
    <definedName name="Detalhes_do_Demonstrativo_MDE_14">'[6]Anexo X _ ENSINO'!#REF!</definedName>
    <definedName name="Detalhes_do_Demonstrativo_MDE_15" localSheetId="10">'[8]Anexo X _ ENSINO'!#REF!</definedName>
    <definedName name="Detalhes_do_Demonstrativo_MDE_15" localSheetId="8">'[7]Anexo X _ ENSINO'!#REF!</definedName>
    <definedName name="Detalhes_do_Demonstrativo_MDE_15">'[8]Anexo X _ ENSINO'!#REF!</definedName>
    <definedName name="Detalhes_do_Demonstrativo_MDE_3" localSheetId="10">#REF!</definedName>
    <definedName name="Detalhes_do_Demonstrativo_MDE_3">#REF!</definedName>
    <definedName name="Detalhes_do_Demonstrativo_MDE_4" localSheetId="10">'[10]Anexo X _ ENSINO'!#REF!</definedName>
    <definedName name="Detalhes_do_Demonstrativo_MDE_4" localSheetId="8">'[9]Anexo X _ ENSINO'!#REF!</definedName>
    <definedName name="Detalhes_do_Demonstrativo_MDE_4">'[10]Anexo X _ ENSINO'!#REF!</definedName>
    <definedName name="Detalhes_do_Demonstrativo_MDE_7" localSheetId="10">'[8]Anexo X _ ENSINO'!#REF!</definedName>
    <definedName name="Detalhes_do_Demonstrativo_MDE_7" localSheetId="8">'[7]Anexo X _ ENSINO'!#REF!</definedName>
    <definedName name="Detalhes_do_Demonstrativo_MDE_7">'[8]Anexo X _ ENSINO'!#REF!</definedName>
    <definedName name="Detalhes_do_Demonstrativo_MDE_8" localSheetId="10">'[8]Anexo X _ ENSINO'!#REF!</definedName>
    <definedName name="Detalhes_do_Demonstrativo_MDE_8" localSheetId="8">'[7]Anexo X _ ENSINO'!#REF!</definedName>
    <definedName name="Detalhes_do_Demonstrativo_MDE_8">'[8]Anexo X _ ENSINO'!#REF!</definedName>
    <definedName name="Detalhes_do_Demonstrativo_MDE_9" localSheetId="10">'[8]Anexo X _ ENSINO'!#REF!</definedName>
    <definedName name="Detalhes_do_Demonstrativo_MDE_9" localSheetId="8">'[7]Anexo X _ ENSINO'!#REF!</definedName>
    <definedName name="Detalhes_do_Demonstrativo_MDE_9">'[8]Anexo X _ ENSINO'!#REF!</definedName>
    <definedName name="Excel_BuiltIn_Print_Area_12" localSheetId="10">#REF!</definedName>
    <definedName name="Excel_BuiltIn_Print_Area_12">#REF!</definedName>
    <definedName name="Excel_BuiltIn_Print_Area_13" localSheetId="10">#REF!</definedName>
    <definedName name="Excel_BuiltIn_Print_Area_13">#REF!</definedName>
    <definedName name="Excel_BuiltIn_Print_Area_7" localSheetId="10">#REF!</definedName>
    <definedName name="Excel_BuiltIn_Print_Area_7">#REF!</definedName>
    <definedName name="Ganhos_e_perdas_de_receita" localSheetId="10">#REF!</definedName>
    <definedName name="Ganhos_e_perdas_de_receita">#REF!</definedName>
    <definedName name="Ganhos_e_perdas_de_receita_11" localSheetId="10">#REF!</definedName>
    <definedName name="Ganhos_e_perdas_de_receita_11">#REF!</definedName>
    <definedName name="Ganhos_e_perdas_de_receita_12" localSheetId="10">#REF!</definedName>
    <definedName name="Ganhos_e_perdas_de_receita_12">#REF!</definedName>
    <definedName name="Ganhos_e_perdas_de_receita_13" localSheetId="10">#REF!</definedName>
    <definedName name="Ganhos_e_perdas_de_receita_13">#REF!</definedName>
    <definedName name="Ganhos_e_perdas_de_receita_14" localSheetId="10">#REF!</definedName>
    <definedName name="Ganhos_e_perdas_de_receita_14">#REF!</definedName>
    <definedName name="Ganhos_e_perdas_de_receita_2" localSheetId="10">#REF!</definedName>
    <definedName name="Ganhos_e_perdas_de_receita_2">#REF!</definedName>
    <definedName name="Ganhos_e_perdas_de_receita_4" localSheetId="10">#REF!</definedName>
    <definedName name="Ganhos_e_perdas_de_receita_4">#REF!</definedName>
    <definedName name="Ganhos_e_perdas_de_receita_6" localSheetId="10">#REF!</definedName>
    <definedName name="Ganhos_e_perdas_de_receita_6">#REF!</definedName>
    <definedName name="Ganhos_e_perdas_de_receita_8" localSheetId="10">#REF!</definedName>
    <definedName name="Ganhos_e_perdas_de_receita_8">#REF!</definedName>
    <definedName name="Ganhos_e_Perdas_de_Receita_99" localSheetId="10">#REF!</definedName>
    <definedName name="Ganhos_e_Perdas_de_Receita_99">#REF!</definedName>
    <definedName name="Ganhos_e_Perdas_de_Receita_99_11" localSheetId="10">#REF!</definedName>
    <definedName name="Ganhos_e_Perdas_de_Receita_99_11">#REF!</definedName>
    <definedName name="Ganhos_e_Perdas_de_Receita_99_12" localSheetId="10">#REF!</definedName>
    <definedName name="Ganhos_e_Perdas_de_Receita_99_12">#REF!</definedName>
    <definedName name="Ganhos_e_Perdas_de_Receita_99_13" localSheetId="10">#REF!</definedName>
    <definedName name="Ganhos_e_Perdas_de_Receita_99_13">#REF!</definedName>
    <definedName name="Ganhos_e_Perdas_de_Receita_99_14" localSheetId="10">#REF!</definedName>
    <definedName name="Ganhos_e_Perdas_de_Receita_99_14">#REF!</definedName>
    <definedName name="Ganhos_e_Perdas_de_Receita_99_2" localSheetId="10">#REF!</definedName>
    <definedName name="Ganhos_e_Perdas_de_Receita_99_2">#REF!</definedName>
    <definedName name="Ganhos_e_Perdas_de_Receita_99_4" localSheetId="10">#REF!</definedName>
    <definedName name="Ganhos_e_Perdas_de_Receita_99_4">#REF!</definedName>
    <definedName name="Ganhos_e_Perdas_de_Receita_99_6" localSheetId="10">#REF!</definedName>
    <definedName name="Ganhos_e_Perdas_de_Receita_99_6">#REF!</definedName>
    <definedName name="Ganhos_e_Perdas_de_Receita_99_8" localSheetId="10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0">(#REF!,#REF!)</definedName>
    <definedName name="Planilha_1ÁreaTotal">(#REF!,#REF!)</definedName>
    <definedName name="Planilha_1ÁreaTotal_11" localSheetId="10">(#REF!,#REF!)</definedName>
    <definedName name="Planilha_1ÁreaTotal_11">(#REF!,#REF!)</definedName>
    <definedName name="Planilha_1ÁreaTotal_12" localSheetId="10">(#REF!,#REF!)</definedName>
    <definedName name="Planilha_1ÁreaTotal_12">(#REF!,#REF!)</definedName>
    <definedName name="Planilha_1ÁreaTotal_13" localSheetId="10">(#REF!,#REF!)</definedName>
    <definedName name="Planilha_1ÁreaTotal_13">(#REF!,#REF!)</definedName>
    <definedName name="Planilha_1ÁreaTotal_14" localSheetId="10">(#REF!,#REF!)</definedName>
    <definedName name="Planilha_1ÁreaTotal_14">(#REF!,#REF!)</definedName>
    <definedName name="Planilha_1ÁreaTotal_2" localSheetId="10">(#REF!,#REF!)</definedName>
    <definedName name="Planilha_1ÁreaTotal_2">(#REF!,#REF!)</definedName>
    <definedName name="Planilha_1ÁreaTotal_4" localSheetId="10">(#REF!,#REF!)</definedName>
    <definedName name="Planilha_1ÁreaTotal_4">(#REF!,#REF!)</definedName>
    <definedName name="Planilha_1ÁreaTotal_6" localSheetId="10">#REF!,#REF!</definedName>
    <definedName name="Planilha_1ÁreaTotal_6">#REF!,#REF!</definedName>
    <definedName name="Planilha_1ÁreaTotal_7" localSheetId="10">(#REF!,#REF!)</definedName>
    <definedName name="Planilha_1ÁreaTotal_7">(#REF!,#REF!)</definedName>
    <definedName name="Planilha_1ÁreaTotal_8" localSheetId="10">#REF!,#REF!</definedName>
    <definedName name="Planilha_1ÁreaTotal_8" localSheetId="8">'[11]Anexo IX _ RP'!#REF!,'[11]Anexo IX _ RP'!#REF!</definedName>
    <definedName name="Planilha_1ÁreaTotal_8">#REF!,#REF!</definedName>
    <definedName name="Planilha_1ÁreaTotal_9" localSheetId="10">(#REF!,#REF!)</definedName>
    <definedName name="Planilha_1ÁreaTotal_9">(#REF!,#REF!)</definedName>
    <definedName name="Planilha_1CabGráfico" localSheetId="10">#REF!</definedName>
    <definedName name="Planilha_1CabGráfico">#REF!</definedName>
    <definedName name="Planilha_1CabGráfico_11" localSheetId="10">#REF!</definedName>
    <definedName name="Planilha_1CabGráfico_11">#REF!</definedName>
    <definedName name="Planilha_1CabGráfico_12" localSheetId="10">#REF!</definedName>
    <definedName name="Planilha_1CabGráfico_12">#REF!</definedName>
    <definedName name="Planilha_1CabGráfico_13" localSheetId="10">#REF!</definedName>
    <definedName name="Planilha_1CabGráfico_13">#REF!</definedName>
    <definedName name="Planilha_1CabGráfico_14" localSheetId="10">#REF!</definedName>
    <definedName name="Planilha_1CabGráfico_14">#REF!</definedName>
    <definedName name="Planilha_1CabGráfico_2" localSheetId="10">#REF!</definedName>
    <definedName name="Planilha_1CabGráfico_2">#REF!</definedName>
    <definedName name="Planilha_1CabGráfico_4" localSheetId="10">#REF!</definedName>
    <definedName name="Planilha_1CabGráfico_4">#REF!</definedName>
    <definedName name="Planilha_1CabGráfico_6" localSheetId="10">#REF!</definedName>
    <definedName name="Planilha_1CabGráfico_6">#REF!</definedName>
    <definedName name="Planilha_1CabGráfico_7" localSheetId="10">#REF!</definedName>
    <definedName name="Planilha_1CabGráfico_7">#REF!</definedName>
    <definedName name="Planilha_1CabGráfico_8" localSheetId="10">#REF!</definedName>
    <definedName name="Planilha_1CabGráfico_8" localSheetId="8">'[11]Anexo IX _ RP'!#REF!</definedName>
    <definedName name="Planilha_1CabGráfico_8">#REF!</definedName>
    <definedName name="Planilha_1CabGráfico_9" localSheetId="10">#REF!</definedName>
    <definedName name="Planilha_1CabGráfico_9">#REF!</definedName>
    <definedName name="Planilha_1TítCols" localSheetId="10">(#REF!,#REF!)</definedName>
    <definedName name="Planilha_1TítCols">(#REF!,#REF!)</definedName>
    <definedName name="Planilha_1TítCols_11" localSheetId="10">(#REF!,#REF!)</definedName>
    <definedName name="Planilha_1TítCols_11">(#REF!,#REF!)</definedName>
    <definedName name="Planilha_1TítCols_12" localSheetId="10">(#REF!,#REF!)</definedName>
    <definedName name="Planilha_1TítCols_12">(#REF!,#REF!)</definedName>
    <definedName name="Planilha_1TítCols_13" localSheetId="10">(#REF!,#REF!)</definedName>
    <definedName name="Planilha_1TítCols_13">(#REF!,#REF!)</definedName>
    <definedName name="Planilha_1TítCols_14" localSheetId="10">(#REF!,#REF!)</definedName>
    <definedName name="Planilha_1TítCols_14">(#REF!,#REF!)</definedName>
    <definedName name="Planilha_1TítCols_2" localSheetId="10">(#REF!,#REF!)</definedName>
    <definedName name="Planilha_1TítCols_2">(#REF!,#REF!)</definedName>
    <definedName name="Planilha_1TítCols_4" localSheetId="10">(#REF!,#REF!)</definedName>
    <definedName name="Planilha_1TítCols_4">(#REF!,#REF!)</definedName>
    <definedName name="Planilha_1TítCols_6" localSheetId="10">#REF!,#REF!</definedName>
    <definedName name="Planilha_1TítCols_6">#REF!,#REF!</definedName>
    <definedName name="Planilha_1TítCols_7" localSheetId="10">(#REF!,#REF!)</definedName>
    <definedName name="Planilha_1TítCols_7">(#REF!,#REF!)</definedName>
    <definedName name="Planilha_1TítCols_8" localSheetId="10">#REF!,#REF!</definedName>
    <definedName name="Planilha_1TítCols_8" localSheetId="8">'[11]Anexo IX _ RP'!#REF!,'[11]Anexo IX _ RP'!#REF!</definedName>
    <definedName name="Planilha_1TítCols_8">#REF!,#REF!</definedName>
    <definedName name="Planilha_1TítCols_9" localSheetId="10">(#REF!,#REF!)</definedName>
    <definedName name="Planilha_1TítCols_9">(#REF!,#REF!)</definedName>
    <definedName name="Planilha_1TítLins" localSheetId="10">#REF!</definedName>
    <definedName name="Planilha_1TítLins">#REF!</definedName>
    <definedName name="Planilha_1TítLins_11" localSheetId="10">#REF!</definedName>
    <definedName name="Planilha_1TítLins_11">#REF!</definedName>
    <definedName name="Planilha_1TítLins_12" localSheetId="10">#REF!</definedName>
    <definedName name="Planilha_1TítLins_12">#REF!</definedName>
    <definedName name="Planilha_1TítLins_13" localSheetId="10">#REF!</definedName>
    <definedName name="Planilha_1TítLins_13">#REF!</definedName>
    <definedName name="Planilha_1TítLins_14" localSheetId="10">#REF!</definedName>
    <definedName name="Planilha_1TítLins_14">#REF!</definedName>
    <definedName name="Planilha_1TítLins_2" localSheetId="10">#REF!</definedName>
    <definedName name="Planilha_1TítLins_2">#REF!</definedName>
    <definedName name="Planilha_1TítLins_4" localSheetId="10">#REF!</definedName>
    <definedName name="Planilha_1TítLins_4">#REF!</definedName>
    <definedName name="Planilha_1TítLins_6" localSheetId="10">#REF!</definedName>
    <definedName name="Planilha_1TítLins_6">#REF!</definedName>
    <definedName name="Planilha_1TítLins_7" localSheetId="10">#REF!</definedName>
    <definedName name="Planilha_1TítLins_7">#REF!</definedName>
    <definedName name="Planilha_1TítLins_8" localSheetId="10">#REF!</definedName>
    <definedName name="Planilha_1TítLins_8" localSheetId="8">'[11]Anexo IX _ RP'!#REF!</definedName>
    <definedName name="Planilha_1TítLins_8">#REF!</definedName>
    <definedName name="Planilha_1TítLins_9" localSheetId="10">#REF!</definedName>
    <definedName name="Planilha_1TítLins_9">#REF!</definedName>
    <definedName name="Planilha_2ÁreaTotal" localSheetId="10">(#REF!,#REF!)</definedName>
    <definedName name="Planilha_2ÁreaTotal">(#REF!,#REF!)</definedName>
    <definedName name="Planilha_2ÁreaTotal_11" localSheetId="10">(#REF!,#REF!)</definedName>
    <definedName name="Planilha_2ÁreaTotal_11">(#REF!,#REF!)</definedName>
    <definedName name="Planilha_2ÁreaTotal_12" localSheetId="10">(#REF!,#REF!)</definedName>
    <definedName name="Planilha_2ÁreaTotal_12">(#REF!,#REF!)</definedName>
    <definedName name="Planilha_2ÁreaTotal_13" localSheetId="10">(#REF!,#REF!)</definedName>
    <definedName name="Planilha_2ÁreaTotal_13">(#REF!,#REF!)</definedName>
    <definedName name="Planilha_2ÁreaTotal_14" localSheetId="10">(#REF!,#REF!)</definedName>
    <definedName name="Planilha_2ÁreaTotal_14">(#REF!,#REF!)</definedName>
    <definedName name="Planilha_2ÁreaTotal_2" localSheetId="10">(#REF!,#REF!)</definedName>
    <definedName name="Planilha_2ÁreaTotal_2">(#REF!,#REF!)</definedName>
    <definedName name="Planilha_2ÁreaTotal_4" localSheetId="10">(#REF!,#REF!)</definedName>
    <definedName name="Planilha_2ÁreaTotal_4">(#REF!,#REF!)</definedName>
    <definedName name="Planilha_2ÁreaTotal_6" localSheetId="10">#REF!,#REF!</definedName>
    <definedName name="Planilha_2ÁreaTotal_6">#REF!,#REF!</definedName>
    <definedName name="Planilha_2ÁreaTotal_8" localSheetId="10">#REF!,#REF!</definedName>
    <definedName name="Planilha_2ÁreaTotal_8">#REF!,#REF!</definedName>
    <definedName name="Planilha_2CabGráfico" localSheetId="10">#REF!</definedName>
    <definedName name="Planilha_2CabGráfico">#REF!</definedName>
    <definedName name="Planilha_2CabGráfico_11" localSheetId="10">#REF!</definedName>
    <definedName name="Planilha_2CabGráfico_11">#REF!</definedName>
    <definedName name="Planilha_2CabGráfico_12" localSheetId="10">#REF!</definedName>
    <definedName name="Planilha_2CabGráfico_12">#REF!</definedName>
    <definedName name="Planilha_2CabGráfico_13" localSheetId="10">#REF!</definedName>
    <definedName name="Planilha_2CabGráfico_13">#REF!</definedName>
    <definedName name="Planilha_2CabGráfico_14" localSheetId="10">#REF!</definedName>
    <definedName name="Planilha_2CabGráfico_14">#REF!</definedName>
    <definedName name="Planilha_2CabGráfico_2" localSheetId="10">#REF!</definedName>
    <definedName name="Planilha_2CabGráfico_2">#REF!</definedName>
    <definedName name="Planilha_2CabGráfico_4" localSheetId="10">#REF!</definedName>
    <definedName name="Planilha_2CabGráfico_4">#REF!</definedName>
    <definedName name="Planilha_2CabGráfico_6" localSheetId="10">#REF!</definedName>
    <definedName name="Planilha_2CabGráfico_6">#REF!</definedName>
    <definedName name="Planilha_2CabGráfico_8" localSheetId="10">#REF!</definedName>
    <definedName name="Planilha_2CabGráfico_8">#REF!</definedName>
    <definedName name="Planilha_2TítCols" localSheetId="10">(#REF!,#REF!)</definedName>
    <definedName name="Planilha_2TítCols">(#REF!,#REF!)</definedName>
    <definedName name="Planilha_2TítCols_11" localSheetId="10">(#REF!,#REF!)</definedName>
    <definedName name="Planilha_2TítCols_11">(#REF!,#REF!)</definedName>
    <definedName name="Planilha_2TítCols_12" localSheetId="10">(#REF!,#REF!)</definedName>
    <definedName name="Planilha_2TítCols_12">(#REF!,#REF!)</definedName>
    <definedName name="Planilha_2TítCols_13" localSheetId="10">(#REF!,#REF!)</definedName>
    <definedName name="Planilha_2TítCols_13">(#REF!,#REF!)</definedName>
    <definedName name="Planilha_2TítCols_14" localSheetId="10">(#REF!,#REF!)</definedName>
    <definedName name="Planilha_2TítCols_14">(#REF!,#REF!)</definedName>
    <definedName name="Planilha_2TítCols_2" localSheetId="10">(#REF!,#REF!)</definedName>
    <definedName name="Planilha_2TítCols_2">(#REF!,#REF!)</definedName>
    <definedName name="Planilha_2TítCols_4" localSheetId="10">(#REF!,#REF!)</definedName>
    <definedName name="Planilha_2TítCols_4">(#REF!,#REF!)</definedName>
    <definedName name="Planilha_2TítCols_6" localSheetId="10">#REF!,#REF!</definedName>
    <definedName name="Planilha_2TítCols_6">#REF!,#REF!</definedName>
    <definedName name="Planilha_2TítCols_8" localSheetId="10">#REF!,#REF!</definedName>
    <definedName name="Planilha_2TítCols_8">#REF!,#REF!</definedName>
    <definedName name="Planilha_2TítLins" localSheetId="10">#REF!</definedName>
    <definedName name="Planilha_2TítLins">#REF!</definedName>
    <definedName name="Planilha_2TítLins_11" localSheetId="10">#REF!</definedName>
    <definedName name="Planilha_2TítLins_11">#REF!</definedName>
    <definedName name="Planilha_2TítLins_12" localSheetId="10">#REF!</definedName>
    <definedName name="Planilha_2TítLins_12">#REF!</definedName>
    <definedName name="Planilha_2TítLins_13" localSheetId="10">#REF!</definedName>
    <definedName name="Planilha_2TítLins_13">#REF!</definedName>
    <definedName name="Planilha_2TítLins_14" localSheetId="10">#REF!</definedName>
    <definedName name="Planilha_2TítLins_14">#REF!</definedName>
    <definedName name="Planilha_2TítLins_2" localSheetId="10">#REF!</definedName>
    <definedName name="Planilha_2TítLins_2">#REF!</definedName>
    <definedName name="Planilha_2TítLins_4" localSheetId="10">#REF!</definedName>
    <definedName name="Planilha_2TítLins_4">#REF!</definedName>
    <definedName name="Planilha_2TítLins_6" localSheetId="10">#REF!</definedName>
    <definedName name="Planilha_2TítLins_6">#REF!</definedName>
    <definedName name="Planilha_2TítLins_8" localSheetId="10">#REF!</definedName>
    <definedName name="Planilha_2TítLins_8">#REF!</definedName>
    <definedName name="Planilha_3ÁreaTotal" localSheetId="10">(#REF!,#REF!)</definedName>
    <definedName name="Planilha_3ÁreaTotal">(#REF!,#REF!)</definedName>
    <definedName name="Planilha_3ÁreaTotal_11" localSheetId="10">(#REF!,#REF!)</definedName>
    <definedName name="Planilha_3ÁreaTotal_11">(#REF!,#REF!)</definedName>
    <definedName name="Planilha_3ÁreaTotal_12" localSheetId="10">(#REF!,#REF!)</definedName>
    <definedName name="Planilha_3ÁreaTotal_12">(#REF!,#REF!)</definedName>
    <definedName name="Planilha_3ÁreaTotal_13" localSheetId="10">(#REF!,#REF!)</definedName>
    <definedName name="Planilha_3ÁreaTotal_13">(#REF!,#REF!)</definedName>
    <definedName name="Planilha_3ÁreaTotal_14" localSheetId="10">(#REF!,#REF!)</definedName>
    <definedName name="Planilha_3ÁreaTotal_14">(#REF!,#REF!)</definedName>
    <definedName name="Planilha_3ÁreaTotal_2" localSheetId="10">(#REF!,#REF!)</definedName>
    <definedName name="Planilha_3ÁreaTotal_2">(#REF!,#REF!)</definedName>
    <definedName name="Planilha_3ÁreaTotal_4" localSheetId="10">(#REF!,#REF!)</definedName>
    <definedName name="Planilha_3ÁreaTotal_4">(#REF!,#REF!)</definedName>
    <definedName name="Planilha_3ÁreaTotal_6" localSheetId="10">#REF!,#REF!</definedName>
    <definedName name="Planilha_3ÁreaTotal_6">#REF!,#REF!</definedName>
    <definedName name="Planilha_3ÁreaTotal_8" localSheetId="10">#REF!,#REF!</definedName>
    <definedName name="Planilha_3ÁreaTotal_8">#REF!,#REF!</definedName>
    <definedName name="Planilha_3CabGráfico" localSheetId="10">#REF!</definedName>
    <definedName name="Planilha_3CabGráfico">#REF!</definedName>
    <definedName name="Planilha_3CabGráfico_11" localSheetId="10">#REF!</definedName>
    <definedName name="Planilha_3CabGráfico_11">#REF!</definedName>
    <definedName name="Planilha_3CabGráfico_12" localSheetId="10">#REF!</definedName>
    <definedName name="Planilha_3CabGráfico_12">#REF!</definedName>
    <definedName name="Planilha_3CabGráfico_13" localSheetId="10">#REF!</definedName>
    <definedName name="Planilha_3CabGráfico_13">#REF!</definedName>
    <definedName name="Planilha_3CabGráfico_14" localSheetId="10">#REF!</definedName>
    <definedName name="Planilha_3CabGráfico_14">#REF!</definedName>
    <definedName name="Planilha_3CabGráfico_2" localSheetId="10">#REF!</definedName>
    <definedName name="Planilha_3CabGráfico_2">#REF!</definedName>
    <definedName name="Planilha_3CabGráfico_4" localSheetId="10">#REF!</definedName>
    <definedName name="Planilha_3CabGráfico_4">#REF!</definedName>
    <definedName name="Planilha_3CabGráfico_6" localSheetId="10">#REF!</definedName>
    <definedName name="Planilha_3CabGráfico_6">#REF!</definedName>
    <definedName name="Planilha_3CabGráfico_8" localSheetId="10">#REF!</definedName>
    <definedName name="Planilha_3CabGráfico_8">#REF!</definedName>
    <definedName name="Planilha_3TítCols" localSheetId="10">(#REF!,#REF!)</definedName>
    <definedName name="Planilha_3TítCols">(#REF!,#REF!)</definedName>
    <definedName name="Planilha_3TítCols_11" localSheetId="10">(#REF!,#REF!)</definedName>
    <definedName name="Planilha_3TítCols_11">(#REF!,#REF!)</definedName>
    <definedName name="Planilha_3TítCols_12" localSheetId="10">(#REF!,#REF!)</definedName>
    <definedName name="Planilha_3TítCols_12">(#REF!,#REF!)</definedName>
    <definedName name="Planilha_3TítCols_13" localSheetId="10">(#REF!,#REF!)</definedName>
    <definedName name="Planilha_3TítCols_13">(#REF!,#REF!)</definedName>
    <definedName name="Planilha_3TítCols_14" localSheetId="10">(#REF!,#REF!)</definedName>
    <definedName name="Planilha_3TítCols_14">(#REF!,#REF!)</definedName>
    <definedName name="Planilha_3TítCols_2" localSheetId="10">(#REF!,#REF!)</definedName>
    <definedName name="Planilha_3TítCols_2">(#REF!,#REF!)</definedName>
    <definedName name="Planilha_3TítCols_4" localSheetId="10">(#REF!,#REF!)</definedName>
    <definedName name="Planilha_3TítCols_4">(#REF!,#REF!)</definedName>
    <definedName name="Planilha_3TítCols_6" localSheetId="10">#REF!,#REF!</definedName>
    <definedName name="Planilha_3TítCols_6">#REF!,#REF!</definedName>
    <definedName name="Planilha_3TítCols_8" localSheetId="10">#REF!,#REF!</definedName>
    <definedName name="Planilha_3TítCols_8">#REF!,#REF!</definedName>
    <definedName name="Planilha_3TítLins" localSheetId="10">#REF!</definedName>
    <definedName name="Planilha_3TítLins">#REF!</definedName>
    <definedName name="Planilha_3TítLins_11" localSheetId="10">#REF!</definedName>
    <definedName name="Planilha_3TítLins_11">#REF!</definedName>
    <definedName name="Planilha_3TítLins_12" localSheetId="10">#REF!</definedName>
    <definedName name="Planilha_3TítLins_12">#REF!</definedName>
    <definedName name="Planilha_3TítLins_13" localSheetId="10">#REF!</definedName>
    <definedName name="Planilha_3TítLins_13">#REF!</definedName>
    <definedName name="Planilha_3TítLins_14" localSheetId="10">#REF!</definedName>
    <definedName name="Planilha_3TítLins_14">#REF!</definedName>
    <definedName name="Planilha_3TítLins_2" localSheetId="10">#REF!</definedName>
    <definedName name="Planilha_3TítLins_2">#REF!</definedName>
    <definedName name="Planilha_3TítLins_4" localSheetId="10">#REF!</definedName>
    <definedName name="Planilha_3TítLins_4">#REF!</definedName>
    <definedName name="Planilha_3TítLins_6" localSheetId="10">#REF!</definedName>
    <definedName name="Planilha_3TítLins_6">#REF!</definedName>
    <definedName name="Planilha_3TítLins_8" localSheetId="10">#REF!</definedName>
    <definedName name="Planilha_3TítLins_8">#REF!</definedName>
    <definedName name="Planilha_4ÁreaTotal" localSheetId="10">(#REF!,#REF!)</definedName>
    <definedName name="Planilha_4ÁreaTotal">(#REF!,#REF!)</definedName>
    <definedName name="Planilha_4ÁreaTotal_6" localSheetId="10">#REF!,#REF!</definedName>
    <definedName name="Planilha_4ÁreaTotal_6">#REF!,#REF!</definedName>
    <definedName name="Planilha_4ÁreaTotal_8" localSheetId="10">#REF!,#REF!</definedName>
    <definedName name="Planilha_4ÁreaTotal_8">#REF!,#REF!</definedName>
    <definedName name="Planilha_4TítCols" localSheetId="10">(#REF!,#REF!)</definedName>
    <definedName name="Planilha_4TítCols">(#REF!,#REF!)</definedName>
    <definedName name="Planilha_4TítCols_6" localSheetId="10">#REF!,#REF!</definedName>
    <definedName name="Planilha_4TítCols_6">#REF!,#REF!</definedName>
    <definedName name="Planilha_4TítCols_8" localSheetId="10">#REF!,#REF!</definedName>
    <definedName name="Planilha_4TítCols_8">#REF!,#REF!</definedName>
    <definedName name="Tabela_1___Déficit_da_Previdência_Social__RGPS" localSheetId="10">#REF!</definedName>
    <definedName name="Tabela_1___Déficit_da_Previdência_Social__RGPS">#REF!</definedName>
    <definedName name="Tabela_1___Déficit_da_Previdência_Social__RGPS_11" localSheetId="10">#REF!</definedName>
    <definedName name="Tabela_1___Déficit_da_Previdência_Social__RGPS_11">#REF!</definedName>
    <definedName name="Tabela_1___Déficit_da_Previdência_Social__RGPS_12" localSheetId="10">#REF!</definedName>
    <definedName name="Tabela_1___Déficit_da_Previdência_Social__RGPS_12">#REF!</definedName>
    <definedName name="Tabela_1___Déficit_da_Previdência_Social__RGPS_13" localSheetId="10">#REF!</definedName>
    <definedName name="Tabela_1___Déficit_da_Previdência_Social__RGPS_13">#REF!</definedName>
    <definedName name="Tabela_1___Déficit_da_Previdência_Social__RGPS_14" localSheetId="10">#REF!</definedName>
    <definedName name="Tabela_1___Déficit_da_Previdência_Social__RGPS_14">#REF!</definedName>
    <definedName name="Tabela_1___Déficit_da_Previdência_Social__RGPS_2" localSheetId="10">#REF!</definedName>
    <definedName name="Tabela_1___Déficit_da_Previdência_Social__RGPS_2">#REF!</definedName>
    <definedName name="Tabela_1___Déficit_da_Previdência_Social__RGPS_4" localSheetId="10">#REF!</definedName>
    <definedName name="Tabela_1___Déficit_da_Previdência_Social__RGPS_4">#REF!</definedName>
    <definedName name="Tabela_1___Déficit_da_Previdência_Social__RGPS_6" localSheetId="10">#REF!</definedName>
    <definedName name="Tabela_1___Déficit_da_Previdência_Social__RGPS_6">#REF!</definedName>
    <definedName name="Tabela_1___Déficit_da_Previdência_Social__RGPS_8" localSheetId="10">#REF!</definedName>
    <definedName name="Tabela_1___Déficit_da_Previdência_Social__RGPS_8">#REF!</definedName>
    <definedName name="Tabela_10___Resultado_Primário_do_Governo_Central_em_1999" localSheetId="10">#REF!</definedName>
    <definedName name="Tabela_10___Resultado_Primário_do_Governo_Central_em_1999">#REF!</definedName>
    <definedName name="Tabela_10___Resultado_Primário_do_Governo_Central_em_1999_11" localSheetId="10">#REF!</definedName>
    <definedName name="Tabela_10___Resultado_Primário_do_Governo_Central_em_1999_11">#REF!</definedName>
    <definedName name="Tabela_10___Resultado_Primário_do_Governo_Central_em_1999_12" localSheetId="10">#REF!</definedName>
    <definedName name="Tabela_10___Resultado_Primário_do_Governo_Central_em_1999_12">#REF!</definedName>
    <definedName name="Tabela_10___Resultado_Primário_do_Governo_Central_em_1999_13" localSheetId="10">#REF!</definedName>
    <definedName name="Tabela_10___Resultado_Primário_do_Governo_Central_em_1999_13">#REF!</definedName>
    <definedName name="Tabela_10___Resultado_Primário_do_Governo_Central_em_1999_14" localSheetId="10">#REF!</definedName>
    <definedName name="Tabela_10___Resultado_Primário_do_Governo_Central_em_1999_14">#REF!</definedName>
    <definedName name="Tabela_10___Resultado_Primário_do_Governo_Central_em_1999_2" localSheetId="10">#REF!</definedName>
    <definedName name="Tabela_10___Resultado_Primário_do_Governo_Central_em_1999_2">#REF!</definedName>
    <definedName name="Tabela_10___Resultado_Primário_do_Governo_Central_em_1999_4" localSheetId="10">#REF!</definedName>
    <definedName name="Tabela_10___Resultado_Primário_do_Governo_Central_em_1999_4">#REF!</definedName>
    <definedName name="Tabela_10___Resultado_Primário_do_Governo_Central_em_1999_6" localSheetId="10">#REF!</definedName>
    <definedName name="Tabela_10___Resultado_Primário_do_Governo_Central_em_1999_6">#REF!</definedName>
    <definedName name="Tabela_10___Resultado_Primário_do_Governo_Central_em_1999_8" localSheetId="10">#REF!</definedName>
    <definedName name="Tabela_10___Resultado_Primário_do_Governo_Central_em_1999_8">#REF!</definedName>
    <definedName name="Tabela_2___Contribuições_Previdenciárias" localSheetId="10">#REF!</definedName>
    <definedName name="Tabela_2___Contribuições_Previdenciárias">#REF!</definedName>
    <definedName name="Tabela_2___Contribuições_Previdenciárias_11" localSheetId="10">#REF!</definedName>
    <definedName name="Tabela_2___Contribuições_Previdenciárias_11">#REF!</definedName>
    <definedName name="Tabela_2___Contribuições_Previdenciárias_12" localSheetId="10">#REF!</definedName>
    <definedName name="Tabela_2___Contribuições_Previdenciárias_12">#REF!</definedName>
    <definedName name="Tabela_2___Contribuições_Previdenciárias_13" localSheetId="10">#REF!</definedName>
    <definedName name="Tabela_2___Contribuições_Previdenciárias_13">#REF!</definedName>
    <definedName name="Tabela_2___Contribuições_Previdenciárias_14" localSheetId="10">#REF!</definedName>
    <definedName name="Tabela_2___Contribuições_Previdenciárias_14">#REF!</definedName>
    <definedName name="Tabela_2___Contribuições_Previdenciárias_2" localSheetId="10">#REF!</definedName>
    <definedName name="Tabela_2___Contribuições_Previdenciárias_2">#REF!</definedName>
    <definedName name="Tabela_2___Contribuições_Previdenciárias_4" localSheetId="10">#REF!</definedName>
    <definedName name="Tabela_2___Contribuições_Previdenciárias_4">#REF!</definedName>
    <definedName name="Tabela_2___Contribuições_Previdenciárias_6" localSheetId="10">#REF!</definedName>
    <definedName name="Tabela_2___Contribuições_Previdenciárias_6">#REF!</definedName>
    <definedName name="Tabela_2___Contribuições_Previdenciárias_8" localSheetId="10">#REF!</definedName>
    <definedName name="Tabela_2___Contribuições_Previdenciárias_8">#REF!</definedName>
    <definedName name="Tabela_3___Benefícios__previsto_x_realizado" localSheetId="10">#REF!</definedName>
    <definedName name="Tabela_3___Benefícios__previsto_x_realizado">#REF!</definedName>
    <definedName name="Tabela_3___Benefícios__previsto_x_realizado_11" localSheetId="10">#REF!</definedName>
    <definedName name="Tabela_3___Benefícios__previsto_x_realizado_11">#REF!</definedName>
    <definedName name="Tabela_3___Benefícios__previsto_x_realizado_12" localSheetId="10">#REF!</definedName>
    <definedName name="Tabela_3___Benefícios__previsto_x_realizado_12">#REF!</definedName>
    <definedName name="Tabela_3___Benefícios__previsto_x_realizado_13" localSheetId="10">#REF!</definedName>
    <definedName name="Tabela_3___Benefícios__previsto_x_realizado_13">#REF!</definedName>
    <definedName name="Tabela_3___Benefícios__previsto_x_realizado_14" localSheetId="10">#REF!</definedName>
    <definedName name="Tabela_3___Benefícios__previsto_x_realizado_14">#REF!</definedName>
    <definedName name="Tabela_3___Benefícios__previsto_x_realizado_2" localSheetId="10">#REF!</definedName>
    <definedName name="Tabela_3___Benefícios__previsto_x_realizado_2">#REF!</definedName>
    <definedName name="Tabela_3___Benefícios__previsto_x_realizado_4" localSheetId="10">#REF!</definedName>
    <definedName name="Tabela_3___Benefícios__previsto_x_realizado_4">#REF!</definedName>
    <definedName name="Tabela_3___Benefícios__previsto_x_realizado_6" localSheetId="10">#REF!</definedName>
    <definedName name="Tabela_3___Benefícios__previsto_x_realizado_6">#REF!</definedName>
    <definedName name="Tabela_3___Benefícios__previsto_x_realizado_8" localSheetId="10">#REF!</definedName>
    <definedName name="Tabela_3___Benefícios__previsto_x_realizado_8">#REF!</definedName>
    <definedName name="Tabela_4___Receitas_Administradas_pela_SRF__previsto_x_realizado" localSheetId="10">#REF!</definedName>
    <definedName name="Tabela_4___Receitas_Administradas_pela_SRF__previsto_x_realizado">#REF!</definedName>
    <definedName name="Tabela_4___Receitas_Administradas_pela_SRF__previsto_x_realizado_11" localSheetId="10">#REF!</definedName>
    <definedName name="Tabela_4___Receitas_Administradas_pela_SRF__previsto_x_realizado_11">#REF!</definedName>
    <definedName name="Tabela_4___Receitas_Administradas_pela_SRF__previsto_x_realizado_12" localSheetId="10">#REF!</definedName>
    <definedName name="Tabela_4___Receitas_Administradas_pela_SRF__previsto_x_realizado_12">#REF!</definedName>
    <definedName name="Tabela_4___Receitas_Administradas_pela_SRF__previsto_x_realizado_13" localSheetId="10">#REF!</definedName>
    <definedName name="Tabela_4___Receitas_Administradas_pela_SRF__previsto_x_realizado_13">#REF!</definedName>
    <definedName name="Tabela_4___Receitas_Administradas_pela_SRF__previsto_x_realizado_14" localSheetId="10">#REF!</definedName>
    <definedName name="Tabela_4___Receitas_Administradas_pela_SRF__previsto_x_realizado_14">#REF!</definedName>
    <definedName name="Tabela_4___Receitas_Administradas_pela_SRF__previsto_x_realizado_2" localSheetId="10">#REF!</definedName>
    <definedName name="Tabela_4___Receitas_Administradas_pela_SRF__previsto_x_realizado_2">#REF!</definedName>
    <definedName name="Tabela_4___Receitas_Administradas_pela_SRF__previsto_x_realizado_4" localSheetId="10">#REF!</definedName>
    <definedName name="Tabela_4___Receitas_Administradas_pela_SRF__previsto_x_realizado_4">#REF!</definedName>
    <definedName name="Tabela_4___Receitas_Administradas_pela_SRF__previsto_x_realizado_6" localSheetId="10">#REF!</definedName>
    <definedName name="Tabela_4___Receitas_Administradas_pela_SRF__previsto_x_realizado_6">#REF!</definedName>
    <definedName name="Tabela_4___Receitas_Administradas_pela_SRF__previsto_x_realizado_8" localSheetId="10">#REF!</definedName>
    <definedName name="Tabela_4___Receitas_Administradas_pela_SRF__previsto_x_realizado_8">#REF!</definedName>
    <definedName name="Tabela_5___Receitas_Administradas_em_Agosto" localSheetId="10">#REF!</definedName>
    <definedName name="Tabela_5___Receitas_Administradas_em_Agosto">#REF!</definedName>
    <definedName name="Tabela_5___Receitas_Administradas_em_Agosto_11" localSheetId="10">#REF!</definedName>
    <definedName name="Tabela_5___Receitas_Administradas_em_Agosto_11">#REF!</definedName>
    <definedName name="Tabela_5___Receitas_Administradas_em_Agosto_12" localSheetId="10">#REF!</definedName>
    <definedName name="Tabela_5___Receitas_Administradas_em_Agosto_12">#REF!</definedName>
    <definedName name="Tabela_5___Receitas_Administradas_em_Agosto_13" localSheetId="10">#REF!</definedName>
    <definedName name="Tabela_5___Receitas_Administradas_em_Agosto_13">#REF!</definedName>
    <definedName name="Tabela_5___Receitas_Administradas_em_Agosto_14" localSheetId="10">#REF!</definedName>
    <definedName name="Tabela_5___Receitas_Administradas_em_Agosto_14">#REF!</definedName>
    <definedName name="Tabela_5___Receitas_Administradas_em_Agosto_2" localSheetId="10">#REF!</definedName>
    <definedName name="Tabela_5___Receitas_Administradas_em_Agosto_2">#REF!</definedName>
    <definedName name="Tabela_5___Receitas_Administradas_em_Agosto_4" localSheetId="10">#REF!</definedName>
    <definedName name="Tabela_5___Receitas_Administradas_em_Agosto_4">#REF!</definedName>
    <definedName name="Tabela_5___Receitas_Administradas_em_Agosto_6" localSheetId="10">#REF!</definedName>
    <definedName name="Tabela_5___Receitas_Administradas_em_Agosto_6">#REF!</definedName>
    <definedName name="Tabela_5___Receitas_Administradas_em_Agosto_8" localSheetId="10">#REF!</definedName>
    <definedName name="Tabela_5___Receitas_Administradas_em_Agosto_8">#REF!</definedName>
    <definedName name="Tabela_6___Receitas_Diretamente_Arrecadadas" localSheetId="10">#REF!</definedName>
    <definedName name="Tabela_6___Receitas_Diretamente_Arrecadadas">#REF!</definedName>
    <definedName name="Tabela_6___Receitas_Diretamente_Arrecadadas_11" localSheetId="10">#REF!</definedName>
    <definedName name="Tabela_6___Receitas_Diretamente_Arrecadadas_11">#REF!</definedName>
    <definedName name="Tabela_6___Receitas_Diretamente_Arrecadadas_12" localSheetId="10">#REF!</definedName>
    <definedName name="Tabela_6___Receitas_Diretamente_Arrecadadas_12">#REF!</definedName>
    <definedName name="Tabela_6___Receitas_Diretamente_Arrecadadas_13" localSheetId="10">#REF!</definedName>
    <definedName name="Tabela_6___Receitas_Diretamente_Arrecadadas_13">#REF!</definedName>
    <definedName name="Tabela_6___Receitas_Diretamente_Arrecadadas_14" localSheetId="10">#REF!</definedName>
    <definedName name="Tabela_6___Receitas_Diretamente_Arrecadadas_14">#REF!</definedName>
    <definedName name="Tabela_6___Receitas_Diretamente_Arrecadadas_2" localSheetId="10">#REF!</definedName>
    <definedName name="Tabela_6___Receitas_Diretamente_Arrecadadas_2">#REF!</definedName>
    <definedName name="Tabela_6___Receitas_Diretamente_Arrecadadas_4" localSheetId="10">#REF!</definedName>
    <definedName name="Tabela_6___Receitas_Diretamente_Arrecadadas_4">#REF!</definedName>
    <definedName name="Tabela_6___Receitas_Diretamente_Arrecadadas_6" localSheetId="10">#REF!</definedName>
    <definedName name="Tabela_6___Receitas_Diretamente_Arrecadadas_6">#REF!</definedName>
    <definedName name="Tabela_6___Receitas_Diretamente_Arrecadadas_8" localSheetId="10">#REF!</definedName>
    <definedName name="Tabela_6___Receitas_Diretamente_Arrecadadas_8">#REF!</definedName>
    <definedName name="Tabela_7___Déficit_da_Previdência_Social_em_1999" localSheetId="10">#REF!</definedName>
    <definedName name="Tabela_7___Déficit_da_Previdência_Social_em_1999">#REF!</definedName>
    <definedName name="Tabela_7___Déficit_da_Previdência_Social_em_1999_11" localSheetId="10">#REF!</definedName>
    <definedName name="Tabela_7___Déficit_da_Previdência_Social_em_1999_11">#REF!</definedName>
    <definedName name="Tabela_7___Déficit_da_Previdência_Social_em_1999_12" localSheetId="10">#REF!</definedName>
    <definedName name="Tabela_7___Déficit_da_Previdência_Social_em_1999_12">#REF!</definedName>
    <definedName name="Tabela_7___Déficit_da_Previdência_Social_em_1999_13" localSheetId="10">#REF!</definedName>
    <definedName name="Tabela_7___Déficit_da_Previdência_Social_em_1999_13">#REF!</definedName>
    <definedName name="Tabela_7___Déficit_da_Previdência_Social_em_1999_14" localSheetId="10">#REF!</definedName>
    <definedName name="Tabela_7___Déficit_da_Previdência_Social_em_1999_14">#REF!</definedName>
    <definedName name="Tabela_7___Déficit_da_Previdência_Social_em_1999_2" localSheetId="10">#REF!</definedName>
    <definedName name="Tabela_7___Déficit_da_Previdência_Social_em_1999_2">#REF!</definedName>
    <definedName name="Tabela_7___Déficit_da_Previdência_Social_em_1999_4" localSheetId="10">#REF!</definedName>
    <definedName name="Tabela_7___Déficit_da_Previdência_Social_em_1999_4">#REF!</definedName>
    <definedName name="Tabela_7___Déficit_da_Previdência_Social_em_1999_6" localSheetId="10">#REF!</definedName>
    <definedName name="Tabela_7___Déficit_da_Previdência_Social_em_1999_6">#REF!</definedName>
    <definedName name="Tabela_7___Déficit_da_Previdência_Social_em_1999_8" localSheetId="10">#REF!</definedName>
    <definedName name="Tabela_7___Déficit_da_Previdência_Social_em_1999_8">#REF!</definedName>
    <definedName name="Tabela_8___Receitas_Administradas__revisão_da_previsão" localSheetId="10">#REF!</definedName>
    <definedName name="Tabela_8___Receitas_Administradas__revisão_da_previsão">#REF!</definedName>
    <definedName name="Tabela_8___Receitas_Administradas__revisão_da_previsão_11" localSheetId="10">#REF!</definedName>
    <definedName name="Tabela_8___Receitas_Administradas__revisão_da_previsão_11">#REF!</definedName>
    <definedName name="Tabela_8___Receitas_Administradas__revisão_da_previsão_12" localSheetId="10">#REF!</definedName>
    <definedName name="Tabela_8___Receitas_Administradas__revisão_da_previsão_12">#REF!</definedName>
    <definedName name="Tabela_8___Receitas_Administradas__revisão_da_previsão_13" localSheetId="10">#REF!</definedName>
    <definedName name="Tabela_8___Receitas_Administradas__revisão_da_previsão_13">#REF!</definedName>
    <definedName name="Tabela_8___Receitas_Administradas__revisão_da_previsão_14" localSheetId="10">#REF!</definedName>
    <definedName name="Tabela_8___Receitas_Administradas__revisão_da_previsão_14">#REF!</definedName>
    <definedName name="Tabela_8___Receitas_Administradas__revisão_da_previsão_2" localSheetId="10">#REF!</definedName>
    <definedName name="Tabela_8___Receitas_Administradas__revisão_da_previsão_2">#REF!</definedName>
    <definedName name="Tabela_8___Receitas_Administradas__revisão_da_previsão_4" localSheetId="10">#REF!</definedName>
    <definedName name="Tabela_8___Receitas_Administradas__revisão_da_previsão_4">#REF!</definedName>
    <definedName name="Tabela_8___Receitas_Administradas__revisão_da_previsão_6" localSheetId="10">#REF!</definedName>
    <definedName name="Tabela_8___Receitas_Administradas__revisão_da_previsão_6">#REF!</definedName>
    <definedName name="Tabela_8___Receitas_Administradas__revisão_da_previsão_8" localSheetId="10">#REF!</definedName>
    <definedName name="Tabela_8___Receitas_Administradas__revisão_da_previsão_8">#REF!</definedName>
    <definedName name="Tabela_9___Resultado_Primário_de_1999" localSheetId="10">#REF!</definedName>
    <definedName name="Tabela_9___Resultado_Primário_de_1999">#REF!</definedName>
    <definedName name="Tabela_9___Resultado_Primário_de_1999_11" localSheetId="10">#REF!</definedName>
    <definedName name="Tabela_9___Resultado_Primário_de_1999_11">#REF!</definedName>
    <definedName name="Tabela_9___Resultado_Primário_de_1999_12" localSheetId="10">#REF!</definedName>
    <definedName name="Tabela_9___Resultado_Primário_de_1999_12">#REF!</definedName>
    <definedName name="Tabela_9___Resultado_Primário_de_1999_13" localSheetId="10">#REF!</definedName>
    <definedName name="Tabela_9___Resultado_Primário_de_1999_13">#REF!</definedName>
    <definedName name="Tabela_9___Resultado_Primário_de_1999_14" localSheetId="10">#REF!</definedName>
    <definedName name="Tabela_9___Resultado_Primário_de_1999_14">#REF!</definedName>
    <definedName name="Tabela_9___Resultado_Primário_de_1999_2" localSheetId="10">#REF!</definedName>
    <definedName name="Tabela_9___Resultado_Primário_de_1999_2">#REF!</definedName>
    <definedName name="Tabela_9___Resultado_Primário_de_1999_4" localSheetId="10">#REF!</definedName>
    <definedName name="Tabela_9___Resultado_Primário_de_1999_4">#REF!</definedName>
    <definedName name="Tabela_9___Resultado_Primário_de_1999_6" localSheetId="10">#REF!</definedName>
    <definedName name="Tabela_9___Resultado_Primário_de_1999_6">#REF!</definedName>
    <definedName name="Tabela_9___Resultado_Primário_de_1999_8" localSheetId="10">#REF!</definedName>
    <definedName name="Tabela_9___Resultado_Primário_de_1999_8">#REF!</definedName>
  </definedNames>
  <calcPr fullCalcOnLoad="1"/>
</workbook>
</file>

<file path=xl/comments1.xml><?xml version="1.0" encoding="utf-8"?>
<comments xmlns="http://schemas.openxmlformats.org/spreadsheetml/2006/main">
  <authors>
    <author>durvalfbf</author>
    <author>Lutero</author>
  </authors>
  <commentList>
    <comment ref="G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 Transferências Intergovernamentais - Deduções da Receita
do FUNDEB
</t>
        </r>
      </text>
    </comment>
    <comment ref="B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C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B74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Total de pessoal e encargos-Despesas Intra-Orçamentárias</t>
        </r>
      </text>
    </comment>
    <comment ref="H74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Despesas liquidadas-Intra-Orçamentária</t>
        </r>
      </text>
    </comment>
    <comment ref="E74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Despesas empenhadas-Intra-Orçamentária</t>
        </r>
      </text>
    </comment>
  </commentList>
</comments>
</file>

<file path=xl/comments10.xml><?xml version="1.0" encoding="utf-8"?>
<comments xmlns="http://schemas.openxmlformats.org/spreadsheetml/2006/main">
  <authors>
    <author>Lutero</author>
  </authors>
  <commentList>
    <comment ref="E18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1911.38.00.00
        40.00.00</t>
        </r>
      </text>
    </comment>
    <comment ref="E19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1931.11.00.00
        13.00.00</t>
        </r>
      </text>
    </comment>
    <comment ref="E20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1913.11.00.00
        13.00.00</t>
        </r>
      </text>
    </comment>
  </commentList>
</comments>
</file>

<file path=xl/comments5.xml><?xml version="1.0" encoding="utf-8"?>
<comments xmlns="http://schemas.openxmlformats.org/spreadsheetml/2006/main">
  <authors>
    <author>Lutero</author>
  </authors>
  <commentList>
    <comment ref="B19" authorId="0">
      <text>
        <r>
          <rPr>
            <b/>
            <sz val="9"/>
            <rFont val="Tahoma"/>
            <family val="0"/>
          </rPr>
          <t>Lutero:</t>
        </r>
        <r>
          <rPr>
            <sz val="9"/>
            <rFont val="Tahoma"/>
            <family val="0"/>
          </rPr>
          <t xml:space="preserve">
Se as deduções forem negativas &gt; o valor será=DC-Passivo Reconhecido</t>
        </r>
      </text>
    </comment>
    <comment ref="F19" authorId="0">
      <text>
        <r>
          <rPr>
            <b/>
            <sz val="9"/>
            <rFont val="Tahoma"/>
            <family val="0"/>
          </rPr>
          <t>Lutero:</t>
        </r>
        <r>
          <rPr>
            <sz val="9"/>
            <rFont val="Tahoma"/>
            <family val="0"/>
          </rPr>
          <t xml:space="preserve">
Se as deduções forem negativas &gt; o valor será = DC-Passivo Reconhecido</t>
        </r>
      </text>
    </comment>
    <comment ref="F16" authorId="0">
      <text>
        <r>
          <rPr>
            <b/>
            <sz val="9"/>
            <rFont val="Tahoma"/>
            <family val="0"/>
          </rPr>
          <t>Lutero:</t>
        </r>
        <r>
          <rPr>
            <sz val="9"/>
            <rFont val="Tahoma"/>
            <family val="0"/>
          </rPr>
          <t xml:space="preserve">
Quando as deduções forem negativas, a DCL=DC
</t>
        </r>
      </text>
    </comment>
  </commentList>
</comments>
</file>

<file path=xl/comments6.xml><?xml version="1.0" encoding="utf-8"?>
<comments xmlns="http://schemas.openxmlformats.org/spreadsheetml/2006/main">
  <authors>
    <author>durvalfbf</author>
  </authors>
  <commentList>
    <comment ref="D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receitas correntes-dívida ativa + receitas de serviços</t>
        </r>
      </text>
    </comment>
    <comment ref="D24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=FPM- dedução da receita</t>
        </r>
      </text>
    </comment>
    <comment ref="D25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=ICMS- dedução da receita</t>
        </r>
      </text>
    </comment>
    <comment ref="D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tc- fpm-icms-transf.convênios-dedução da receita do FUNDEB</t>
        </r>
      </text>
    </comment>
    <comment ref="B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rec.corentes-Dívida Ativa+ Receitas de serviços</t>
        </r>
      </text>
    </comment>
  </commentList>
</comments>
</file>

<file path=xl/sharedStrings.xml><?xml version="1.0" encoding="utf-8"?>
<sst xmlns="http://schemas.openxmlformats.org/spreadsheetml/2006/main" count="1298" uniqueCount="954">
  <si>
    <t>RELATÓRIO RESUMIDO DA EXECUÇÃO ORÇAMENTÁRIA</t>
  </si>
  <si>
    <t>BALANÇO ORÇAMENTÁRIO - PREFEITURA MUNICIPAL DE SÃO LUÍS (MA)</t>
  </si>
  <si>
    <t>ORÇAMENTOS FISCAL E DA SEGURIDADE SOCIAL</t>
  </si>
  <si>
    <t>RECEITAS</t>
  </si>
  <si>
    <t xml:space="preserve"> PREVISÃO INICIAL </t>
  </si>
  <si>
    <t xml:space="preserve"> PREVISÃO       ATUALIZADA </t>
  </si>
  <si>
    <t xml:space="preserve"> RECEITAS REALIZADAS </t>
  </si>
  <si>
    <t xml:space="preserve"> No Bimestre </t>
  </si>
  <si>
    <t xml:space="preserve"> % </t>
  </si>
  <si>
    <t xml:space="preserve"> Até o bimestre </t>
  </si>
  <si>
    <t xml:space="preserve"> (a) </t>
  </si>
  <si>
    <t xml:space="preserve"> (b) </t>
  </si>
  <si>
    <t xml:space="preserve"> (b/a) </t>
  </si>
  <si>
    <t xml:space="preserve"> (c) </t>
  </si>
  <si>
    <t xml:space="preserve"> (c/a) </t>
  </si>
  <si>
    <t xml:space="preserve"> (a-c) </t>
  </si>
  <si>
    <t>RECEITAS CORRENTES</t>
  </si>
  <si>
    <t>RECEITA TRIBUTARIA</t>
  </si>
  <si>
    <t>Impostos</t>
  </si>
  <si>
    <t>Taxas</t>
  </si>
  <si>
    <t>Contribuição de Melhoria</t>
  </si>
  <si>
    <t xml:space="preserve"> -   </t>
  </si>
  <si>
    <t>RECEITA DE CONTRIBUICOES</t>
  </si>
  <si>
    <t>Contribuicões Sociais</t>
  </si>
  <si>
    <t>RECEITA PATRIMONIAL</t>
  </si>
  <si>
    <t>Receitas Imobiliárias</t>
  </si>
  <si>
    <t>Receitas de Valores Mobiliários</t>
  </si>
  <si>
    <t>Compensações Financeiras</t>
  </si>
  <si>
    <t>Receita de Concessões e Permissões</t>
  </si>
  <si>
    <t>Outras Receitas Patrimoniais</t>
  </si>
  <si>
    <t>RECEITA DE SERVICOS</t>
  </si>
  <si>
    <t>Receita de Serviços</t>
  </si>
  <si>
    <t>TRANSFERENCIAS CORRENTES</t>
  </si>
  <si>
    <t>Transferências Intergovernamentais</t>
  </si>
  <si>
    <t>Transferências de Inst. Privadas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</si>
  <si>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</si>
  <si>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</si>
  <si>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</si>
  <si>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</si>
  <si>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</si>
  <si>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</si>
  <si>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</si>
  <si>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 xml:space="preserve">OPERACOES DE CREDITO  </t>
  </si>
  <si>
    <t>Operações de Crédito Internas</t>
  </si>
  <si>
    <t>Operações de Crédito Externas</t>
  </si>
  <si>
    <t>ALIENACAO DE BENS</t>
  </si>
  <si>
    <t>Alienação de Bens Móveis</t>
  </si>
  <si>
    <t>Alienação de Bens Imóveis</t>
  </si>
  <si>
    <t>TRANSFERENCIAS DE CAPITAL</t>
  </si>
  <si>
    <t>Transferências Inst. Privadas</t>
  </si>
  <si>
    <t>OUTRAS RECEITAS DE CAPITAL</t>
  </si>
  <si>
    <t>Receitas de Capital Diversas</t>
  </si>
  <si>
    <t>RECEITAS INTRA-ORÇAMENTÁRIAS (II)</t>
  </si>
  <si>
    <t>SUBTOTAL DAS RECEITAS  (III = I + II)</t>
  </si>
  <si>
    <t xml:space="preserve"> OPERAÇÕES DE CRÉDITO / REFINANCIAMENTO (IV)</t>
  </si>
  <si>
    <t xml:space="preserve"> Mobiliária</t>
  </si>
  <si>
    <t>Contratual</t>
  </si>
  <si>
    <t>SUBTOTAL COM REFINANCIAMENTO (V) = (III+IV)</t>
  </si>
  <si>
    <t>DÉFICIT (VI)</t>
  </si>
  <si>
    <t>TOTAL (VII) = V+VI)</t>
  </si>
  <si>
    <t>SALDO DE EXERCÍCIOS ANTERIORES UTILIZADOS PARA CRÉDITOS ADICIONAIS</t>
  </si>
  <si>
    <t xml:space="preserve">                                           </t>
  </si>
  <si>
    <t xml:space="preserve"> DOTAÇÃO </t>
  </si>
  <si>
    <t>DESPESAS</t>
  </si>
  <si>
    <t xml:space="preserve">  INICIAL         </t>
  </si>
  <si>
    <t xml:space="preserve"> ATUALIZADA   </t>
  </si>
  <si>
    <t xml:space="preserve"> (d) </t>
  </si>
  <si>
    <t xml:space="preserve"> (e) </t>
  </si>
  <si>
    <t xml:space="preserve"> (h)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</si>
  <si>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</si>
  <si>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</si>
  <si>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</si>
  <si>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</si>
  <si>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</si>
  <si>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</si>
  <si>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</si>
  <si>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</si>
  <si>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</si>
  <si>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</si>
  <si>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</si>
  <si>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</si>
  <si>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SUBTOTAL DAS DESPESAS (X) = VIII + IX</t>
  </si>
  <si>
    <t>Amortização da Dívida Interna</t>
  </si>
  <si>
    <t>Dívida Mobiliária</t>
  </si>
  <si>
    <t>Outras Dívidas</t>
  </si>
  <si>
    <t>Amortização da Dívida Externa</t>
  </si>
  <si>
    <t>SUBTOTAL C/ REFINANCIAMENTO (XII) = (X + XI)</t>
  </si>
  <si>
    <t>SUPERÁVIT (XIII)</t>
  </si>
  <si>
    <t>TOTAL (XIV) = (XII + 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</si>
  <si>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</si>
  <si>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</si>
  <si>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</si>
  <si>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</si>
  <si>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Prefeitura de São Luís (MA)</t>
  </si>
  <si>
    <t>Relatório Resumido da Execução Orçamentária</t>
  </si>
  <si>
    <t>Demonstrativo da Execuçäo das Despesas por Funçäo e Subfunção</t>
  </si>
  <si>
    <t>Orçamentos Fiscal e da Seguridade Social</t>
  </si>
  <si>
    <t>Função Sub-Função</t>
  </si>
  <si>
    <t>Dotação</t>
  </si>
  <si>
    <t>%</t>
  </si>
  <si>
    <t xml:space="preserve">Inicial </t>
  </si>
  <si>
    <t>Atualizada</t>
  </si>
  <si>
    <t>No Bimestre</t>
  </si>
  <si>
    <t>Até o Bimestre</t>
  </si>
  <si>
    <t>(b/total b)</t>
  </si>
  <si>
    <t>(a)</t>
  </si>
  <si>
    <t>(b)</t>
  </si>
  <si>
    <t>(b/a)</t>
  </si>
  <si>
    <t>DESPESA (EXCETO INTRA) - I</t>
  </si>
  <si>
    <t xml:space="preserve"> LEGISLATIVA</t>
  </si>
  <si>
    <t xml:space="preserve">    Ação Legislativa</t>
  </si>
  <si>
    <t xml:space="preserve">   Administração Geral</t>
  </si>
  <si>
    <t xml:space="preserve">    Previdência do Regime Estatutário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</si>
  <si>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</si>
  <si>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</si>
  <si>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</si>
  <si>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</si>
  <si>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</si>
  <si>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</si>
  <si>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</si>
  <si>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</si>
  <si>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</si>
  <si>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  Administração de Receitas</t>
  </si>
  <si>
    <t xml:space="preserve">   Comunicação Social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</si>
  <si>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</si>
  <si>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</si>
  <si>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</si>
  <si>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</si>
  <si>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</si>
  <si>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</si>
  <si>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</si>
  <si>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</si>
  <si>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</si>
  <si>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</si>
  <si>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</si>
  <si>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Atenção Básica</t>
  </si>
  <si>
    <t xml:space="preserve">   Assist. Hospitalar e Ambulatorial</t>
  </si>
  <si>
    <t xml:space="preserve">   Vigilância Sanitária </t>
  </si>
  <si>
    <t xml:space="preserve">   Vigilância Epidemiológica</t>
  </si>
  <si>
    <t xml:space="preserve"> TRABALHO</t>
  </si>
  <si>
    <t xml:space="preserve">   Proteção e Benefícios Trabalhador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</si>
  <si>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</si>
  <si>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</si>
  <si>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</si>
  <si>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</si>
  <si>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</si>
  <si>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</si>
  <si>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</si>
  <si>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</si>
  <si>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  Preservação e Conservação Ambiental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</si>
  <si>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</si>
  <si>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</si>
  <si>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</si>
  <si>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</si>
  <si>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</si>
  <si>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 xml:space="preserve"> URBANISMO</t>
  </si>
  <si>
    <t xml:space="preserve">   Normatização e Fiscalização</t>
  </si>
  <si>
    <t xml:space="preserve">   Ordenamento Territorial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</si>
  <si>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</si>
  <si>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</si>
  <si>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</si>
  <si>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</si>
  <si>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</si>
  <si>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</si>
  <si>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</si>
  <si>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</si>
  <si>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</si>
  <si>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</si>
  <si>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</si>
  <si>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</si>
  <si>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</si>
  <si>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</si>
  <si>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</si>
  <si>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</si>
  <si>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</si>
  <si>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</si>
  <si>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</si>
  <si>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</si>
  <si>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</si>
  <si>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</si>
  <si>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</si>
  <si>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 xml:space="preserve">  TOTAL III = (I + II)</t>
  </si>
  <si>
    <t>PREFEITURA MUNICIPAL DE SÃO LUÍS (MA)</t>
  </si>
  <si>
    <t>DEMONSTRATIVO DA RECEITA CORRENTE LÍQUIDA</t>
  </si>
  <si>
    <t>ESPECIFICAÇÃO</t>
  </si>
  <si>
    <t>mai-09</t>
  </si>
  <si>
    <t>jun-09</t>
  </si>
  <si>
    <t>RECEITAS CORRENTES (I)</t>
  </si>
  <si>
    <t>Receita Tributária</t>
  </si>
  <si>
    <t>IPTU</t>
  </si>
  <si>
    <t>ISS</t>
  </si>
  <si>
    <t>ITBI</t>
  </si>
  <si>
    <t>IRPF</t>
  </si>
  <si>
    <t>Outras Receitas Tributárias</t>
  </si>
  <si>
    <t>Receita de Contribuições</t>
  </si>
  <si>
    <t>Receita Patrimonial</t>
  </si>
  <si>
    <t>Transferências Correntes</t>
  </si>
  <si>
    <t>Cota-Parte do FPM</t>
  </si>
  <si>
    <t>Cota-Parte do ICMS</t>
  </si>
  <si>
    <t>Cota-Parte do IPVA</t>
  </si>
  <si>
    <t>Cota-Parte do ITR</t>
  </si>
  <si>
    <t>Transferências LC 87/96</t>
  </si>
  <si>
    <t>Transferências LC 61/89</t>
  </si>
  <si>
    <t>Tranferências do FUNDEB</t>
  </si>
  <si>
    <t>Outras Transferências Correntes</t>
  </si>
  <si>
    <t>Outras Receitas Correntes</t>
  </si>
  <si>
    <t>DEDUÇÕES (II)</t>
  </si>
  <si>
    <t>Contrib. Plano Seg. Social Servidor</t>
  </si>
  <si>
    <t>Compensação Financ. entre Regimes Previd.</t>
  </si>
  <si>
    <t>Dedução de Receita para Formação do FUNDEB</t>
  </si>
  <si>
    <t>RECEITA CORRENTE LÍQUIDA (I - II)</t>
  </si>
  <si>
    <t>DEMONSTRATIVO DAS RECEITAS E DESPESAS PREVIDENCIÁRIAS  REGIME PRÓPRIO DOS SERVIDORES PÚBLICOS</t>
  </si>
  <si>
    <t>ORÇAMENTO DA SEGURIDADE SOCIAL</t>
  </si>
  <si>
    <t>RECEITAS PREVIDENCIÁRIAS</t>
  </si>
  <si>
    <t xml:space="preserve">PREVISÃO INICIAL     </t>
  </si>
  <si>
    <t>PREVISÃO      ATUALIZADA</t>
  </si>
  <si>
    <t>RECEITAS REALIZADAS</t>
  </si>
  <si>
    <t>RECEITAS PREVID. (EXC. INTRA-ORÇAMENTÁRIAS) - I</t>
  </si>
  <si>
    <t>Pessoal Civil</t>
  </si>
  <si>
    <t>Contribuição do Servidor Ativo Civil</t>
  </si>
  <si>
    <t>Contribuição do Servidor Inativo Civil</t>
  </si>
  <si>
    <t>Contribuição de Pensionista Civil</t>
  </si>
  <si>
    <t>Pessoal Militar</t>
  </si>
  <si>
    <t>Contribuição do Militar Ativo</t>
  </si>
  <si>
    <t>Contribuição do Militar Inativo</t>
  </si>
  <si>
    <t>Contribuição de Pensionista Militar</t>
  </si>
  <si>
    <t>Outras Receitas de Contribuição</t>
  </si>
  <si>
    <t>Compensação Previdenciária entre RGPS e RPPS</t>
  </si>
  <si>
    <t xml:space="preserve">    Outras Receitas Correntes   </t>
  </si>
  <si>
    <t>Alienação de Bens, Direitos e Ativos</t>
  </si>
  <si>
    <t>Amortização de Empréstimos</t>
  </si>
  <si>
    <t>Outras Receitas de Capital</t>
  </si>
  <si>
    <t>(-) DEDUÇÕES DA RECEITA</t>
  </si>
  <si>
    <t>RECEITAS PREVIDENCIÁRIAS - RPPS</t>
  </si>
  <si>
    <t>RECEITAS PREVID.  - INTRA-ORÇAMENTÁRIAS) - II</t>
  </si>
  <si>
    <t>TOTAL REC. PREVIDENCIÁRIAS (III) = I + II</t>
  </si>
  <si>
    <t>DESPESAS PREVIDENCIÁRIAS</t>
  </si>
  <si>
    <t xml:space="preserve">DOTAÇÃO INICIAL     </t>
  </si>
  <si>
    <t>DOTAÇÃO         ATUALIZADA</t>
  </si>
  <si>
    <t>INSCRITAS EM RPNP</t>
  </si>
  <si>
    <t>DESP. PREVID. (EXC. INTRA-ORÇAMENTÁRIAS) - IV</t>
  </si>
  <si>
    <t>ADMINISTRAÇÃO GERAL</t>
  </si>
  <si>
    <t>Despesas Correntes</t>
  </si>
  <si>
    <t>Despesas de Capital</t>
  </si>
  <si>
    <t>PREVIDÊNCIA SOCIAL</t>
  </si>
  <si>
    <t>Aposentadorias</t>
  </si>
  <si>
    <t>Pensões</t>
  </si>
  <si>
    <t>Outros Benefícios Previdenciários</t>
  </si>
  <si>
    <t>Reformas</t>
  </si>
  <si>
    <t>Outras Despesas Correntes</t>
  </si>
  <si>
    <t xml:space="preserve">     Demais Despesas Previdenciárias</t>
  </si>
  <si>
    <t>DESPESAS  PREVID.  - INTRA-ORÇAMENTÁRIAS) - V</t>
  </si>
  <si>
    <t>TOTAL DESP. PREVIDENCIÁRIAS (VI) = IV + V</t>
  </si>
  <si>
    <t>RESULTADO PREVIDENCIÁRIO VII = III - VI</t>
  </si>
  <si>
    <t>DEMONSTRATIVO DAS RECEITAS E DESPESAS PREVIDENCIÁRIAS DO REGIME PRÓPRIO DOS SERVIDORES PÚBLICOS</t>
  </si>
  <si>
    <t>APORTES DE RECURSOS PARA O REGIME PRÓPRIO
DE PREVIDÊNCIA DO SERVIDOR</t>
  </si>
  <si>
    <t>DOTAÇÃO</t>
  </si>
  <si>
    <t>DESPESAS LIQUIDADAS</t>
  </si>
  <si>
    <t>INICIAL</t>
  </si>
  <si>
    <t>ATUALIZADA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</si>
  <si>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</si>
  <si>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</si>
  <si>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</si>
  <si>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</si>
  <si>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</si>
  <si>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</si>
  <si>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</si>
  <si>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</si>
  <si>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</si>
  <si>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</si>
  <si>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</si>
  <si>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</si>
  <si>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PERÍODO DE REFERÊNCIA</t>
  </si>
  <si>
    <t>CAIXA</t>
  </si>
  <si>
    <t>BANCOS CONTA MOVIMENTO</t>
  </si>
  <si>
    <t>OUTROS BENS E DIREITOS</t>
  </si>
  <si>
    <t>REC.PREVIDENCIÁRIAS INTRA-ORÇAMENTÁRIAS</t>
  </si>
  <si>
    <t>RECEITAS CORRENTES (VIII)</t>
  </si>
  <si>
    <t>Contribuição Patronal do Servidor Ativo Civil</t>
  </si>
  <si>
    <t>Contribuição Patronal do Servidor Inativo Civil</t>
  </si>
  <si>
    <t>Contribuição Patronal de Pensionista Civil</t>
  </si>
  <si>
    <t>Contribuição Patronal de Militar Ativo</t>
  </si>
  <si>
    <t>Contribuição Patronal de Militar Inativo</t>
  </si>
  <si>
    <t>Contribuição Patronal de Pensionista Militar</t>
  </si>
  <si>
    <t>Contrib. Previdenciárias para cobertura de Déficit Atuarial</t>
  </si>
  <si>
    <t>Contrib. Previdenciária em regime de débitos e parcelamentos</t>
  </si>
  <si>
    <t>RECEITAS DE CAPITAL (IX)</t>
  </si>
  <si>
    <t>Alienação de Bens</t>
  </si>
  <si>
    <t>(-) DEDUÇÕES DA RECEITA (X)</t>
  </si>
  <si>
    <t>TOTAL REC. PREVID. INTRA-ORÇ. (XI) = VIII+IX - X)</t>
  </si>
  <si>
    <t>DESP. PREVIDENCIÁRIAS INTRA-ORÇAMENTÁRIAS</t>
  </si>
  <si>
    <t>ADMINISTRAÇÃO GERAL (XII)</t>
  </si>
  <si>
    <t xml:space="preserve">        Pessoal Civil</t>
  </si>
  <si>
    <t xml:space="preserve">            Aposentadorias </t>
  </si>
  <si>
    <t xml:space="preserve">            Pensões </t>
  </si>
  <si>
    <t xml:space="preserve">            Outros Benefícios Previdenciários </t>
  </si>
  <si>
    <t>TOTAL DESP. PREVID. INTRA-ORÇAMENTÁRIAS</t>
  </si>
  <si>
    <t>DEMONSTRATIVO DO RESULTADO NOMINAL</t>
  </si>
  <si>
    <t>SALDO</t>
  </si>
  <si>
    <t>(c)</t>
  </si>
  <si>
    <t>DÍVIDA CONSOLIDADA (I)</t>
  </si>
  <si>
    <t>Haveres Financeiros</t>
  </si>
  <si>
    <t>DÍVIDA CONSOLIDADA LÍQUIDA (III) = (I - II)</t>
  </si>
  <si>
    <t>RECEITA DE PRIVATIZAÇÕES (IV)</t>
  </si>
  <si>
    <t>PASSIVOS RECONHECIDOS (V)</t>
  </si>
  <si>
    <t>DÍVIDA FISCAL LÍQUIDA VI = III + VI - V</t>
  </si>
  <si>
    <t>(c - b)</t>
  </si>
  <si>
    <t>(c - a)</t>
  </si>
  <si>
    <t>RESULTADO NOMINAL</t>
  </si>
  <si>
    <t>DISCRIMINAÇÃO DA META FISCAL</t>
  </si>
  <si>
    <t>REGIME PREVIDENCIÁRIO</t>
  </si>
  <si>
    <t xml:space="preserve">    Investimentos</t>
  </si>
  <si>
    <t xml:space="preserve">    (-) Restos a Pagar Processados</t>
  </si>
  <si>
    <t>PREFEITURA MUNICIPAL DE SÃO LUÍS</t>
  </si>
  <si>
    <t>DEMONSTRATIVO DO RESULTADO PRIMÁRIO</t>
  </si>
  <si>
    <t>RECEITAS FISCAIS</t>
  </si>
  <si>
    <t>PREVISÃO ATUALIZADA</t>
  </si>
  <si>
    <t>RECEITAS PRIMÁRIAS CORRENTES (I)</t>
  </si>
  <si>
    <t xml:space="preserve">   IPTU</t>
  </si>
  <si>
    <t xml:space="preserve">   ISS</t>
  </si>
  <si>
    <t xml:space="preserve">   ITBI</t>
  </si>
  <si>
    <t xml:space="preserve">   IRPF</t>
  </si>
  <si>
    <t xml:space="preserve">   Outras Receitas Tributárias</t>
  </si>
  <si>
    <t xml:space="preserve">  Receita Previdenciária</t>
  </si>
  <si>
    <t xml:space="preserve">  Outras Contribuições</t>
  </si>
  <si>
    <t>Receita Patrimonial Líquida</t>
  </si>
  <si>
    <t xml:space="preserve">  Receita Patrimonial</t>
  </si>
  <si>
    <t xml:space="preserve"> (-) Aplicações Financeiras</t>
  </si>
  <si>
    <t xml:space="preserve">  FPM</t>
  </si>
  <si>
    <t xml:space="preserve">  ICMS</t>
  </si>
  <si>
    <t xml:space="preserve">  Transferências de Convênios</t>
  </si>
  <si>
    <t xml:space="preserve">  Outras Transferências Correntes</t>
  </si>
  <si>
    <t>Demais Receitas Correntes</t>
  </si>
  <si>
    <t xml:space="preserve">  Dívida Ativa</t>
  </si>
  <si>
    <t xml:space="preserve">  Diversas Receitas Correntes</t>
  </si>
  <si>
    <t>RECEITAS DE CAPITAL (II)</t>
  </si>
  <si>
    <t>Operações de Crédito (III)</t>
  </si>
  <si>
    <t>Amortização de Empréstimos (IV)</t>
  </si>
  <si>
    <t>Alienação de Bens  (V)</t>
  </si>
  <si>
    <t>Transferências de Capital</t>
  </si>
  <si>
    <t xml:space="preserve"> Convênios</t>
  </si>
  <si>
    <t xml:space="preserve"> Outras Transferências de Capital</t>
  </si>
  <si>
    <t>RECEITAS PRIMÁRIAS DE CAPITAL (VI) = (II - III - IV - V)</t>
  </si>
  <si>
    <t>RECEITAS PRIMÁRIAS LÍQUIDAS (VII) = (I + VI)</t>
  </si>
  <si>
    <t>DESPESAS FISCAIS</t>
  </si>
  <si>
    <t>DOTAÇÃO       ATUALIZADA</t>
  </si>
  <si>
    <t>DESPESAS CORRENTES (VIII)</t>
  </si>
  <si>
    <t>Pessoal e Encargos Sociais</t>
  </si>
  <si>
    <t>Juros e Encargos da Dívida (IX)</t>
  </si>
  <si>
    <t>DESPESAS PRIMÁRIAS CORRENTES (X) = (VIII - IX)</t>
  </si>
  <si>
    <t>DESPESAS DE CAPITAL (XI)</t>
  </si>
  <si>
    <t>Investimentos</t>
  </si>
  <si>
    <t>Inversões Financeiras</t>
  </si>
  <si>
    <t>Concessão de Empréstimos (XII)</t>
  </si>
  <si>
    <t>Aquisição de Título de Capital já Integralizado (XIII)</t>
  </si>
  <si>
    <t>Demais Inversões Financeiras</t>
  </si>
  <si>
    <t>Amortização da Dívida (XIV)</t>
  </si>
  <si>
    <t>DESPESAS PRIMÁRIAS CAPITAL (XV) = (XI - XII - XIII - XIV)</t>
  </si>
  <si>
    <t>RESERVA DE CONTINGÊNCIA (XVI)</t>
  </si>
  <si>
    <t>RESERVA DE RPPS (XVII)</t>
  </si>
  <si>
    <t>DESP. PRIMÁRIAS LÍQUIDAS (XVIII) = (X + XV + XVI+XVII)</t>
  </si>
  <si>
    <t xml:space="preserve">RESULTADO PRIMÁRIO (VII - XVIII) </t>
  </si>
  <si>
    <t>SALDOS DE EXERCÍCIOS ANTERIORES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</si>
  <si>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</si>
  <si>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</si>
  <si>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</si>
  <si>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</si>
  <si>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</si>
  <si>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</si>
  <si>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</si>
  <si>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</si>
  <si>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</si>
  <si>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</si>
  <si>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</si>
  <si>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</si>
  <si>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</si>
  <si>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</si>
  <si>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</si>
  <si>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Inscritos</t>
  </si>
  <si>
    <t>Cancelados</t>
  </si>
  <si>
    <t>Pagos</t>
  </si>
  <si>
    <t>Exercícios Anteriores</t>
  </si>
  <si>
    <t>RESTOS A PAGAR (EXCETO INTRA-ORÇAMENTÁRIAS) - I</t>
  </si>
  <si>
    <t xml:space="preserve">         Câmara Municipal</t>
  </si>
  <si>
    <t xml:space="preserve">    EXECUTIVO</t>
  </si>
  <si>
    <t xml:space="preserve">          Secretaria Municipal de Governo</t>
  </si>
  <si>
    <t xml:space="preserve">          Gabinete do Vice-prefeito</t>
  </si>
  <si>
    <t xml:space="preserve">          Procuradoria Geral do Município</t>
  </si>
  <si>
    <t xml:space="preserve">          Controladoria Geral do Município</t>
  </si>
  <si>
    <t xml:space="preserve">          Comissão Permanente de Licitação</t>
  </si>
  <si>
    <t xml:space="preserve">          Secretaria Municipal de Segurança com Cidadania</t>
  </si>
  <si>
    <t xml:space="preserve">          Recursos sob a Superv. da  SEMFAZ</t>
  </si>
  <si>
    <t xml:space="preserve">          Recursos sob a Superv. da  SEMAD</t>
  </si>
  <si>
    <t xml:space="preserve">          Instituto Municipal de Paisagem Urbana</t>
  </si>
  <si>
    <t xml:space="preserve">          Instituto de Previdência e Assistência</t>
  </si>
  <si>
    <t xml:space="preserve">          Fundo Municipal da Assistência Social</t>
  </si>
  <si>
    <t xml:space="preserve">          FUNDEB</t>
  </si>
  <si>
    <t>TOTAL</t>
  </si>
  <si>
    <t>DEMONSTRATIVO DAS RECEITAS E DESPESAS COM MANUTENÇÃO E DESENVOLVIMENTO DO ENSINO - MDE</t>
  </si>
  <si>
    <t>RECEITA BRUTA DE IMPOSTOS</t>
  </si>
  <si>
    <t>PREVISÃO INICIAL</t>
  </si>
  <si>
    <t>1.1 Receita Resultante do IPTU</t>
  </si>
  <si>
    <t>1.2 Receita Resultante do ITBI</t>
  </si>
  <si>
    <t>1.3 Receita Resultante do ISS</t>
  </si>
  <si>
    <t xml:space="preserve">2.1 Cota-Parte FPM </t>
  </si>
  <si>
    <t xml:space="preserve">2.2 Cota-Parte ICMS </t>
  </si>
  <si>
    <t xml:space="preserve">2.3 ICMS-Desoneração - L.C. nº 87/96 </t>
  </si>
  <si>
    <t xml:space="preserve">2.4 Cota-Parte IPI-Exportação </t>
  </si>
  <si>
    <t xml:space="preserve">2.5 Cota-Parte ITR </t>
  </si>
  <si>
    <t xml:space="preserve">2.6 Cota-Parte IPVA </t>
  </si>
  <si>
    <t xml:space="preserve">2.7 Cota-Parte IOF-Ouro </t>
  </si>
  <si>
    <t>3. TOTAL DA RECEITA DE IMPOSTOS (1+2)</t>
  </si>
  <si>
    <t>RECEITAS ADICIONAIS PARA FINANCIAMENTO DO ENSINO</t>
  </si>
  <si>
    <t>5. Transferências do FNDE</t>
  </si>
  <si>
    <t>6. Transferências de Convênios destinados a Programas de Educação</t>
  </si>
  <si>
    <t>7. Receita de Operações de Crédito destinada à Educação</t>
  </si>
  <si>
    <t>RECEITAS DO FUNDEB</t>
  </si>
  <si>
    <t>10. Receitas de Transferências Constitucionais e Legais</t>
  </si>
  <si>
    <t>11. Receitas recebidas do FUNDEB</t>
  </si>
  <si>
    <t>11.1 Transferências de Recursos do FUNDEB</t>
  </si>
  <si>
    <t>11.2 Complementação da União ao  FUNDEB</t>
  </si>
  <si>
    <t>11.3 Receita de Aplicação Financeira dos Recursos do FUNDEB</t>
  </si>
  <si>
    <t xml:space="preserve">    12. RESULTADO LÍQUIDO DAS TRANSFERENCIAS DO FUNDEB (11.1 - 10)</t>
  </si>
  <si>
    <t>[se RESULTADO LÍQUIDO DA TRANSFERÊNCIAS (11 &gt; 0) = ACRÉSCIMO RESULTANTE DAS TRANSF. DO FUNDEB</t>
  </si>
  <si>
    <t>DESPESAS DO FUNDEB</t>
  </si>
  <si>
    <t>DOTAÇÃO INICIAL</t>
  </si>
  <si>
    <t>DOTAÇÃO ATUALIZADA</t>
  </si>
  <si>
    <t>(d)</t>
  </si>
  <si>
    <t xml:space="preserve"> 13. PAGAMENTO DOS PROFISSIONAIS DO MAGISTÉRIO </t>
  </si>
  <si>
    <t>13.1 Educação Infantil</t>
  </si>
  <si>
    <t>13.2 Educação Fundamental</t>
  </si>
  <si>
    <t xml:space="preserve"> 14. OUTRAS DESPESAS </t>
  </si>
  <si>
    <t>14.1 Educação Infantil</t>
  </si>
  <si>
    <t>14.2 Educação Fundamental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</si>
  <si>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</si>
  <si>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</si>
  <si>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</si>
  <si>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CONTROLE DA UTILIZAÇÃO DE RECURSOS NO EXERCÍCIO SUBSEQÜENTE</t>
  </si>
  <si>
    <t>PREVISÃO</t>
  </si>
  <si>
    <t>RECEITAS COM AÇÕES TÍPICAS DE MANUTENÇÃO E DESENVOLVIMENTO DO ENSINO</t>
  </si>
  <si>
    <t>(c) = (b/a)x100</t>
  </si>
  <si>
    <t>DESPESAS COM AÇÕES TÍPICAS DE MANUTENÇÃO E DESENVOLVIMENTO DO ENSINO</t>
  </si>
  <si>
    <t>(e)</t>
  </si>
  <si>
    <t>(f) = (e/d)x100</t>
  </si>
  <si>
    <t>23- EDUCAÇÃO INFANTIL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</si>
  <si>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</si>
  <si>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</si>
  <si>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</si>
  <si>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</si>
  <si>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>26- ENSINO SUPERIOR</t>
  </si>
  <si>
    <t>27- ENSINO PROFISSIONAL NÃO INTEGRADO AO ENSINO REGULAR</t>
  </si>
  <si>
    <t>28- OUTRAS</t>
  </si>
  <si>
    <t>29- TOTAL DAS DESPESAS PARA FINS DE LIMITE (soma de 23 a 28)</t>
  </si>
  <si>
    <t>DEDUÇÕES / ADIÇÕES CONSIDERADAS PARA FINS DE LIMITE CONSTITUCIONAL</t>
  </si>
  <si>
    <t>30- RESULTADO LÍQUIDO DAS TRANSFERÊNCIAS DO FUNDEB = (12)</t>
  </si>
  <si>
    <t>32- RECEITA DE APLICAÇÃO FINANCEIRA DOS RECURSOS DO FUNDEB ATÉ O BIMESTRE = (50h)</t>
  </si>
  <si>
    <t>33- DESPESAS CUSTEADAS COM O SUPERÁVIT FINANCEIRO DO EXERCÍCIO ANTERIOR, DO FUNDEB</t>
  </si>
  <si>
    <t>34- DESPESAS CUSTEADAS COM O SUPERÁVIT FINANCEIRO DO EXERCÍCIO ANTERIOR, DE OUTROS RECURSOS DE IMPOSTOS</t>
  </si>
  <si>
    <t xml:space="preserve">36- CANCELAMENTOS, NO EXERCÍCIO, DE RESTOS A PAGAR INSCRITOS COM DISPONBIILIDADE FINANCEIRO DE REC. DE IMPOSTOS VINCULADOS AO ENSINO </t>
  </si>
  <si>
    <t xml:space="preserve">38- TOTAL DAS DESPESAS PARA FINS DE LIMITE ((23+24)-(37)) </t>
  </si>
  <si>
    <r>
      <t>39-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1 </t>
    </r>
    <r>
      <rPr>
        <b/>
        <sz val="8"/>
        <rFont val="Times New Roman"/>
        <family val="1"/>
      </rPr>
      <t>[(38)/3*100)]</t>
    </r>
  </si>
  <si>
    <t>OUTRAS INFORMAÇÕES PARA CONTROLE</t>
  </si>
  <si>
    <t xml:space="preserve"> </t>
  </si>
  <si>
    <t>45- TOTAL GERAL DAS DESPESAS COM MDE  (29 +44)</t>
  </si>
  <si>
    <t>RESTOS A PAGAR INSCRITOS COM DISPONIBILIDADE FINANCEIRA
DE RECURSOS DE IMPOSTOS VINCULADOS AO ENSINO</t>
  </si>
  <si>
    <t>SALDO ATÉ O BIMESTRE</t>
  </si>
  <si>
    <t>FLUXO FINANCEIRO DOS RECURSOS DO FUNDEB</t>
  </si>
  <si>
    <t>PREFEITURA DE SÃO LUÍS (MA)</t>
  </si>
  <si>
    <t>DEMONSTRATIVO SIMPLIFICADO DO RELATÓRIO RESUMIDO DA EXECUÇÃO ORÇAMENTÁRIA</t>
  </si>
  <si>
    <t xml:space="preserve">BALANÇO ORÇAMENTÁRIO 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</si>
  <si>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</si>
  <si>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</si>
  <si>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</si>
  <si>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</si>
  <si>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</si>
  <si>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Regime Geral de Previdência Social</t>
  </si>
  <si>
    <t>Regime Próprio de Previdência Social dos Servidores Públicos</t>
  </si>
  <si>
    <t>RESULTADOS NOMINAL E PRIMÁRIO</t>
  </si>
  <si>
    <t xml:space="preserve"> % em Relação à Meta</t>
  </si>
  <si>
    <t>Resultado Nominal</t>
  </si>
  <si>
    <t>Resultado Primário</t>
  </si>
  <si>
    <t>Inscrição</t>
  </si>
  <si>
    <t>RESTOS A PAGAR PROCESSADOS</t>
  </si>
  <si>
    <t>RESTOS A PAGAR NÃO-PROCESSADOS</t>
  </si>
  <si>
    <t>Valor apurado</t>
  </si>
  <si>
    <t>Limites Constitucionais Anuais</t>
  </si>
  <si>
    <t>até  o bimestre</t>
  </si>
  <si>
    <t>&lt;25% / 18%&gt;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</si>
  <si>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</si>
  <si>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</si>
  <si>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</si>
  <si>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</si>
  <si>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</si>
  <si>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</si>
  <si>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</si>
  <si>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</si>
  <si>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</si>
  <si>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</si>
  <si>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</si>
  <si>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</si>
  <si>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</si>
  <si>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</si>
  <si>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Receita de Capital Resultante da Alienação de Ativos</t>
  </si>
  <si>
    <t>Aplicação dos Recursos da Alienação de Ativos</t>
  </si>
  <si>
    <t>DESPESAS DE CARÁTER CONTINUADO DERIVADAS DE  PPP´S CONTRATADAS</t>
  </si>
  <si>
    <t>VALOR APURADO NO EXERCÍCIO CORRENTE</t>
  </si>
  <si>
    <t xml:space="preserve">Total das Despesas / RCL (%) </t>
  </si>
  <si>
    <t>Disponibilidade de Caixa Bruta</t>
  </si>
  <si>
    <t>46- RESTOS A PAGAR DE DESPESAS COM MANUTENÇÃO E DESENVOLVIMENTO DO ENSINO</t>
  </si>
  <si>
    <t xml:space="preserve">   Suporte Profilático e Terapêutico</t>
  </si>
  <si>
    <t xml:space="preserve">    4. Receita de Aplic. Financeira de outros recursos de impostos vinculados ao ensino </t>
  </si>
  <si>
    <t xml:space="preserve">    9. TOTAL DAS REC. ADICIONAIS PARA FINANCIAMENTO DO ENSINO (4+5+6+7+8)</t>
  </si>
  <si>
    <t>31- DESPESAS CUSTEADAS COM A COMPLEMENTAÇÃO DO FUNDEB NO EXERCÍCIO</t>
  </si>
  <si>
    <t>37- TOTAL DAS DEDUÇÕES / ADIÇÕES CONSIDERADAS PARA FINS DE LIMITE CONSTITUCIONAL (SOMA DE 30 A 36)</t>
  </si>
  <si>
    <t>43- DESPESAS CUST. COM OUTRAS REC. PARA FINANCIAMENTO DO ENSINO (106+112+116)</t>
  </si>
  <si>
    <t>42 - DESPESAS CUSTEADAS COM RECURSOS DE OPERAÇÕES DE CRÉDITO - (Fonte 114)</t>
  </si>
  <si>
    <t>41- DESPESAS CUSTEADAS CONT. SOCIAL DO SALÁRIO-EDUCAÇÃO - (Fonte 111)</t>
  </si>
  <si>
    <t>40- DESP.CUSTEADAS COM APLIC. FIN. DE OUTROS REC. DE IMPOSTOS VINC ENSINO</t>
  </si>
  <si>
    <t xml:space="preserve">  Ordenamento Territorial</t>
  </si>
  <si>
    <t xml:space="preserve">   Recursos Hídricos</t>
  </si>
  <si>
    <t xml:space="preserve">   Desporto de Rendimento</t>
  </si>
  <si>
    <t xml:space="preserve">          Fundação Municipal de Patrimônio Histórico </t>
  </si>
  <si>
    <t xml:space="preserve">35- RESTOS A PAGAR INSCRITOS NO EXERCÍCIO SEM DISPONBIILIDADE FINANCEIRA DE REC. DE IMPOSTOS VINCULADOS AO ENSINO </t>
  </si>
  <si>
    <t>% Mín Aplicar Exercício</t>
  </si>
  <si>
    <t>1.4 Receita Resultante do IRRF</t>
  </si>
  <si>
    <t>1.5 Receita Resultante do ITR</t>
  </si>
  <si>
    <t>1.Receitas de Impostos (I)</t>
  </si>
  <si>
    <t xml:space="preserve">RECEITA RESULTANTE DE IMPOSTOS </t>
  </si>
  <si>
    <t>2. Receitas de Transferências Constitucionais e Legais (II)</t>
  </si>
  <si>
    <t xml:space="preserve">     5.1  Transferências do Salário-Educação</t>
  </si>
  <si>
    <t xml:space="preserve">     6.1 Transferências de Convênios</t>
  </si>
  <si>
    <t xml:space="preserve">     6.2 Aplicação Financeira dos Recursos de Convênios</t>
  </si>
  <si>
    <t>22- IMPOSTOS E TRANSFERÊNCIAS DESTINADAS À MDE (25% de 3)3</t>
  </si>
  <si>
    <t xml:space="preserve">                            ORÇAMENTOS FISCAL E DA SEGURIDADE SOCIAL</t>
  </si>
  <si>
    <t xml:space="preserve">                             RELATÓRIO RESUMIDO DA EXECUÇÃO ORÇAMENTÁRIA</t>
  </si>
  <si>
    <t xml:space="preserve">                             PREFEITURA MUNICIPAL DE SÃO LUÍS (MA)</t>
  </si>
  <si>
    <t>Pag. 1/3</t>
  </si>
  <si>
    <t>Pag. 2/3</t>
  </si>
  <si>
    <t>Pag. 3/3</t>
  </si>
  <si>
    <t>Pag. 1/2</t>
  </si>
  <si>
    <t>Pag. 2/2</t>
  </si>
  <si>
    <t>AMORTIZAÇÃO DA DÍV.-REFINANCIAMENTO (XI)</t>
  </si>
  <si>
    <t xml:space="preserve">    Disponibilidade de Caixa Bruta</t>
  </si>
  <si>
    <t xml:space="preserve">    Passivo Atuarial</t>
  </si>
  <si>
    <t xml:space="preserve">    Demais Dívidas</t>
  </si>
  <si>
    <t xml:space="preserve">    Demais Haveres Financeiros</t>
  </si>
  <si>
    <t>DÍVIDA CONSOLIDADA PREVIDENCIÁRIA (VII)</t>
  </si>
  <si>
    <t>DEDUÇÕES (VIII)</t>
  </si>
  <si>
    <t>PASSIVOS RECONHECIDOS (X)</t>
  </si>
  <si>
    <t>DÍV.  CONS. LÍQUIDA PREVIDENCIÁRIA (IX) = (VII - VIII)</t>
  </si>
  <si>
    <t>DÍVIDA FISCAL LÍQUIDA PREVIDENCIÁRIA (XI) = (IX - X)</t>
  </si>
  <si>
    <t>EXERCÍCIO ANTERIOR</t>
  </si>
  <si>
    <t>[se RESULTADO LÍQUIDO DAS TRANSFERÊNCIAS (11 &lt; 0) = DECRÉSCIMO RESULTANTE DAS TRANSF. DO FUNDEB</t>
  </si>
  <si>
    <t xml:space="preserve">   Direitos indiv, coletivos e difusos</t>
  </si>
  <si>
    <t>Receitas Tributárias</t>
  </si>
  <si>
    <t>Receitas de Contribuições</t>
  </si>
  <si>
    <t xml:space="preserve"> 15. TOTAL DAS DESPESAS DO FUNDEB (13+14)</t>
  </si>
  <si>
    <t>48- (+) INGRESSO DE  RECURSOS DO FUNDEB ATÉ O BIMESTRE</t>
  </si>
  <si>
    <t>51- (=) SALDO FINANCEIRO DO FUNDEB NO EXERCÍCIO ATUAL</t>
  </si>
  <si>
    <t>50- (+) RECEITA DE APLICAÇÃO FINANCEIRA DOS RECURSOS DO FUNDEB ATÉ O BIMESTRE</t>
  </si>
  <si>
    <t>49- (-) PAGAMENTOS EFETUADOS ATÉ O BIMESTRE</t>
  </si>
  <si>
    <t>No Bimestre Anterior</t>
  </si>
  <si>
    <t xml:space="preserve">No Bimestre </t>
  </si>
  <si>
    <t>TOTAL  (ÚLTIMOS 12 M.)</t>
  </si>
  <si>
    <t>RESTOS A PAGAR NÃO PROCESSADOS</t>
  </si>
  <si>
    <t>Liquidados</t>
  </si>
  <si>
    <t xml:space="preserve">     LEGISLATIVO</t>
  </si>
  <si>
    <t xml:space="preserve">      ADMINISTRAÇÃO DIRETA</t>
  </si>
  <si>
    <t xml:space="preserve">          Secretaria Municipal de Articulação Desenv. Metropolitano</t>
  </si>
  <si>
    <t xml:space="preserve">          Secretaria Municipal de Articulação Institucional</t>
  </si>
  <si>
    <t xml:space="preserve">          Secretaria Municipal de Comunicação </t>
  </si>
  <si>
    <t xml:space="preserve">          Secretaria Municipal de Obras e Serviços Públicos</t>
  </si>
  <si>
    <t xml:space="preserve">          Manutenção e Desenvolvimento do Ensino</t>
  </si>
  <si>
    <t xml:space="preserve">          Secretaria Municipal da Fazenda </t>
  </si>
  <si>
    <t xml:space="preserve">          Secretaria Municipal de Trânsito e Transportes Urbanos</t>
  </si>
  <si>
    <t xml:space="preserve">          Secretaria Extraordinária Municipal de Orçam. Participativo</t>
  </si>
  <si>
    <t xml:space="preserve">          Secretaria Municipal de Administração </t>
  </si>
  <si>
    <t xml:space="preserve">          Secretaria Municipal de Urbanismo e Habitação </t>
  </si>
  <si>
    <t xml:space="preserve">          Secretaria Municipal de Turismo </t>
  </si>
  <si>
    <t xml:space="preserve">          Secretaria Municipal de Planejamento e Desenvolvimento</t>
  </si>
  <si>
    <t xml:space="preserve">          Secretaria Municipal de Informações e Tecnologia</t>
  </si>
  <si>
    <t xml:space="preserve">          Secretaria Municipal de Segurança Alimentar</t>
  </si>
  <si>
    <t xml:space="preserve">          Secretaria Municipal da Criança e Assistência Social</t>
  </si>
  <si>
    <t xml:space="preserve">          Secretaria Municipal de Desporto e Lazer</t>
  </si>
  <si>
    <t xml:space="preserve">          Secretaria Municipal de Agricultura, Pesca e Abastecimento</t>
  </si>
  <si>
    <t xml:space="preserve">          Secretaria Extraordinária de Projetos Especiais</t>
  </si>
  <si>
    <t xml:space="preserve">      ADMINISTRAÇÃO INDIRETA</t>
  </si>
  <si>
    <t xml:space="preserve">        AUTARQUIAS</t>
  </si>
  <si>
    <t xml:space="preserve">          Hospital Municipal Djalma Marques </t>
  </si>
  <si>
    <t xml:space="preserve">          Instituto da Cidade </t>
  </si>
  <si>
    <t xml:space="preserve">          Fundação Municipal de Cultura </t>
  </si>
  <si>
    <t xml:space="preserve">        FUNDOS</t>
  </si>
  <si>
    <t xml:space="preserve">          Fundo Municipal de Saúde </t>
  </si>
  <si>
    <t xml:space="preserve">          Fundo Especial Municipal de Transportes</t>
  </si>
  <si>
    <t xml:space="preserve">          Fundo Municipal Direitos Criança e do Adolescente</t>
  </si>
  <si>
    <t xml:space="preserve">    Multas, Juros de Mora e Outros Encargos dos Impostos</t>
  </si>
  <si>
    <t xml:space="preserve">    Dívida Ativa dos Impostos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</si>
  <si>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</si>
  <si>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</si>
  <si>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</si>
  <si>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  Investimentos </t>
  </si>
  <si>
    <t xml:space="preserve">    Inversões Financeiras</t>
  </si>
  <si>
    <t xml:space="preserve">    Amortização da Dívida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</si>
  <si>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</si>
  <si>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</si>
  <si>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</si>
  <si>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</si>
  <si>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</si>
  <si>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</si>
  <si>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</si>
  <si>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DEMONSTRATIVO DAS PARCERIAS PÚBLICO-PRIVADAS</t>
  </si>
  <si>
    <t>SALDO TOTAL EM 31 DE DEZEMBRO DO EXERCÍCIO ANTERIOR                       (a)</t>
  </si>
  <si>
    <t>SALDO TOTAL                                 (c) =(a+b)</t>
  </si>
  <si>
    <t>Até o Bimestre                        (b)</t>
  </si>
  <si>
    <t>TOTAL DE ATIVOS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</si>
  <si>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</si>
  <si>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</si>
  <si>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</si>
  <si>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</si>
  <si>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</si>
  <si>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</si>
  <si>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</si>
  <si>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 - 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</si>
  <si>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</si>
  <si>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</si>
  <si>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</si>
  <si>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</si>
  <si>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</si>
  <si>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 Serviços Futuros</t>
  </si>
  <si>
    <t xml:space="preserve">     Outros Serviços Contingentes</t>
  </si>
  <si>
    <t>DESPESAS DE PPP</t>
  </si>
  <si>
    <t>ERXERCÍCIO CORRENTE (EC)</t>
  </si>
  <si>
    <t>&lt;EC+1&gt;</t>
  </si>
  <si>
    <t>&lt;EC+2&gt;</t>
  </si>
  <si>
    <t>&lt;EC+3&gt;</t>
  </si>
  <si>
    <t>&lt;EC+4&gt;</t>
  </si>
  <si>
    <t>&lt;EC+5&gt;</t>
  </si>
  <si>
    <t>&lt;EC+6&gt;</t>
  </si>
  <si>
    <t>&lt;EC+7&gt;</t>
  </si>
  <si>
    <t>&lt;EC+8&gt;</t>
  </si>
  <si>
    <t>&lt;EC+9&gt;</t>
  </si>
  <si>
    <t>Do Ente Federado</t>
  </si>
  <si>
    <t>Das Estatais Não-dependentes</t>
  </si>
  <si>
    <t>TOTAL DAS DESPESAS</t>
  </si>
  <si>
    <t>RECEITA CORRENTE LÍQUIDA (RCL)</t>
  </si>
  <si>
    <t>TOTAL DAS DESPESAS / RCL  (%)</t>
  </si>
  <si>
    <t>DESPESAS EMPENHADAS</t>
  </si>
  <si>
    <t xml:space="preserve">                       RREO - ANEXO 1  (LRF - Art. 52, inciso I, alíneas "a" e "b" do inciso II e §1º)  </t>
  </si>
  <si>
    <t xml:space="preserve">RREO - ANEXO 2 (LRF - Art.52, inciso II, alínea "c") </t>
  </si>
  <si>
    <t>Outras Despesas Previdenciárias</t>
  </si>
  <si>
    <t>Comp. Previdenciária do RPPS para o RGPS</t>
  </si>
  <si>
    <t xml:space="preserve"> RREO - ANEXO 4 (LRF - Art. 53, inciso II)</t>
  </si>
  <si>
    <t>(-) Restos a Pagar Processados (Exceto Precatórios)</t>
  </si>
  <si>
    <t xml:space="preserve"> RREO - ANEXO 5 (LRF - art 53, inciso III)</t>
  </si>
  <si>
    <t xml:space="preserve"> RREO - ANEXO 6 (LRF - art 53, inciso III)</t>
  </si>
  <si>
    <t xml:space="preserve"> RREO - ANEXO 7 (LRF - art. 53, inciso V) </t>
  </si>
  <si>
    <t xml:space="preserve">RREO - ANEXO 8 (LDB, art. 72) </t>
  </si>
  <si>
    <t xml:space="preserve">    1.1.2 - Multa, juros de mora e outros encargos do IPTU</t>
  </si>
  <si>
    <t xml:space="preserve">    1.2.1 - ITBI</t>
  </si>
  <si>
    <t xml:space="preserve">    1.2.3 - Dívida Ativa do ITBI </t>
  </si>
  <si>
    <t xml:space="preserve">    1.2.2 - Multa, juros de mora e outros encargos do ITBI</t>
  </si>
  <si>
    <t xml:space="preserve">    1.2.5 - (-) Deduções da Receita do ITBI</t>
  </si>
  <si>
    <t xml:space="preserve">    1.1.1. - IPTU</t>
  </si>
  <si>
    <t xml:space="preserve">    1.1.3 - Dívida Ativa do IPTU </t>
  </si>
  <si>
    <t xml:space="preserve">    1.1.4 - Multa, juros de mora, atual. Mon. e outros encargos da dívida ativa do IPTU</t>
  </si>
  <si>
    <t xml:space="preserve">    1.1.5 - (-) Deduções da Receita do IPTU</t>
  </si>
  <si>
    <t xml:space="preserve">    1.3.1 - ISS</t>
  </si>
  <si>
    <t xml:space="preserve">    1.3.2 - Multa, juros de mora e outros encargos do ISS</t>
  </si>
  <si>
    <t xml:space="preserve">    1.3.3 - Dívida Ativa do ISS </t>
  </si>
  <si>
    <t xml:space="preserve">    1.3.5 - (-) Deduções da Receita do ISS</t>
  </si>
  <si>
    <t xml:space="preserve">    1.4.1 - IRPF</t>
  </si>
  <si>
    <t xml:space="preserve">    1.4.2 - Multa, juros de mora e outros encargos do IRPF</t>
  </si>
  <si>
    <t xml:space="preserve">    1.4.3 - Dívida Ativa do IRPF </t>
  </si>
  <si>
    <t xml:space="preserve">    1.4.4 - Multa, juros de mora, atual. monetária e outros encargos da dívida ativa do IRPF</t>
  </si>
  <si>
    <t xml:space="preserve">    1.3.4 - Multa, juros de mora, atual. monetária e outros encargos da dívida ativa do ISS</t>
  </si>
  <si>
    <t xml:space="preserve">    1.2.4 - Multa, juros de mora, atual. monetária e outros encargos da dívida ativa do ITBI</t>
  </si>
  <si>
    <t xml:space="preserve">    1.4.5 - (-) Deduções da Receita do IRRF</t>
  </si>
  <si>
    <t xml:space="preserve">    1.5.1 - ITR</t>
  </si>
  <si>
    <t xml:space="preserve">    1.5.2 - Multa, juros de mora e outros encargos do ITR</t>
  </si>
  <si>
    <t xml:space="preserve">    1.5.3 - Dívida Ativa do ITR </t>
  </si>
  <si>
    <t xml:space="preserve">    1.5.4 - Multa, juros de mora, atual. monetária e outros encargos da dívida ativa do ITR</t>
  </si>
  <si>
    <t xml:space="preserve">    1.5.5 - (-) Deduções da Receita do ITR</t>
  </si>
  <si>
    <t xml:space="preserve">    2.1.1 - Parcela referente à CF - art. 159, I, alínea b</t>
  </si>
  <si>
    <t xml:space="preserve">    2.1.2 - Parcela referente à CF - art. 159, I, alínea d</t>
  </si>
  <si>
    <t>10.1 Cota-Parte FPM destinada ao FUNDEB - (20% de 2.1.1)</t>
  </si>
  <si>
    <t>10.2 Cota-Parte ICMS destinada ao FUNDEB - (20% de 2.2)</t>
  </si>
  <si>
    <t>10.3 ICMS-Desoneração - L.C. nº 87/96 - destinada ao FUNDEB - (20% de 2.3)</t>
  </si>
  <si>
    <t>10.4 Cota-Parte IPI-Exportação (85%)  - destinada ao FUNDEB - (20% de 2.4)</t>
  </si>
  <si>
    <t>10.5 Cota-Parte ITR (100%)  - destinada ao FUNDEB - (20% de (1.5 + 2.5)</t>
  </si>
  <si>
    <t>10.6 Cota-Parte IPVA (100%)   - destinada ao FUNDEB - (20% de 2.6)</t>
  </si>
  <si>
    <t>TOTAL DAS DESPESAS COM SAÚDE (IV)</t>
  </si>
  <si>
    <t>RREO - ANEXO 14 (LRF, art. 48)</t>
  </si>
  <si>
    <t>RREO - ANEXO 13 (Lei nº 11.079, de 30.12.2004, arts. 22, 25 e 28)</t>
  </si>
  <si>
    <t xml:space="preserve"> RREO - ANEXO 12 (LC 141/2012, art. 35)</t>
  </si>
  <si>
    <t>RECEITAS PARA APURAÇÃO DA APLICAÇÃO EM AÇÕES E SERVIÇOS PÚBLICOS DE SAÚDE</t>
  </si>
  <si>
    <r>
      <t>(b/a)</t>
    </r>
    <r>
      <rPr>
        <b/>
        <sz val="6"/>
        <rFont val="Times New Roman"/>
        <family val="1"/>
      </rPr>
      <t>x100</t>
    </r>
  </si>
  <si>
    <t>RECEITA DE IMPOSTOS LÍQUIDA (I)</t>
  </si>
  <si>
    <t xml:space="preserve">    Imposto Predial e Territorial Urbano - IPTU</t>
  </si>
  <si>
    <t xml:space="preserve">    Imposto sobre Transmissão de Bens Intervivos - ITBI</t>
  </si>
  <si>
    <t xml:space="preserve">    Imposto sobre Serviços de Qualquer Natureza - ISS</t>
  </si>
  <si>
    <t xml:space="preserve">    Imposto de Renda Retido na Fonte - IRRF</t>
  </si>
  <si>
    <t xml:space="preserve">    Imposto Territorial Rural - ITR</t>
  </si>
  <si>
    <t xml:space="preserve">    Multas, Juros de Mora e Outros Encargos da Dívida Ativa </t>
  </si>
  <si>
    <t>RECEITA DE TRANSFERÊNCIAS CONSTITUCIONAIS E LEGAIS (II)</t>
  </si>
  <si>
    <t xml:space="preserve">    Cota-Parte do FPM</t>
  </si>
  <si>
    <t xml:space="preserve">    Cota-Parte do ITR</t>
  </si>
  <si>
    <t xml:space="preserve">    Cota-Parte do IPVA</t>
  </si>
  <si>
    <t xml:space="preserve">    Cota-Parte do ICMS</t>
  </si>
  <si>
    <t xml:space="preserve">    Cota-Parte IPI-Exportação</t>
  </si>
  <si>
    <t xml:space="preserve">    Compensações Financeiras Prevenientes de Impostos e Transf. Constitucionais</t>
  </si>
  <si>
    <t xml:space="preserve">        Desoneração ICMS (LC 87/96)</t>
  </si>
  <si>
    <t>TOTAL DAS RECEITAS PARA APURAÇÃO DA APLICAÇÃO EM AÇÕES E SERVIÇOS PÚBLICOS DE SAÚDE (III) = I + II</t>
  </si>
  <si>
    <t>TRANSFERÊNCIA DE RECURSOS DO SISTEMA ÚNICO DE SAÚDE - 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</si>
  <si>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</si>
  <si>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</si>
  <si>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</si>
  <si>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</si>
  <si>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</si>
  <si>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</si>
  <si>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 xml:space="preserve">OUTRAS RECEITAS PARA FINANCIAMENTO DA SAÚDE </t>
  </si>
  <si>
    <t>TOTAL DAS RECEITAS ADICIONAIS PARA FINANCIAMENTO DA SAÚDE</t>
  </si>
  <si>
    <t>Até o Bimestre                                     (d)</t>
  </si>
  <si>
    <t xml:space="preserve"> Até o Bimestre</t>
  </si>
  <si>
    <t>PREVISÃO ATUALIZADA              ( c )</t>
  </si>
  <si>
    <t>(g)</t>
  </si>
  <si>
    <t xml:space="preserve">DOTAÇÃO ATUALIZADA                                                                      </t>
  </si>
  <si>
    <t xml:space="preserve"> (e)</t>
  </si>
  <si>
    <t xml:space="preserve">DESPESAS COM INATIVOS E PENSIONISTAS </t>
  </si>
  <si>
    <t>DESPESAS COM ASSISTÊNCIA À SAÚDE QUE NÃO ATENDE AO PRINCÍPIO DE ACESSO UNIVERSAL</t>
  </si>
  <si>
    <t>DESPESAS CUSTEADAS COM OUTROS RECURSOS</t>
  </si>
  <si>
    <t xml:space="preserve">     Recursos de Transferência do Sistema Único de Saúde - SUS</t>
  </si>
  <si>
    <t xml:space="preserve">     Recursos de Operações de Crédito</t>
  </si>
  <si>
    <t xml:space="preserve">     Outros Recursos</t>
  </si>
  <si>
    <t>OUTRAS AÇÕES E SERVIÇOS NÃO COMPUTADOS</t>
  </si>
  <si>
    <t>RPNP INSCRITOS INDEVIDAMENTE NO EXERCÍCIO SEM DISPONIBILIDADE FINANCEIRA 1</t>
  </si>
  <si>
    <t>DESPESAS CUSTEADAS COM DISPONIBILIDADE DE CAIXA VINCULADA AOS RESTOS A PAGAR CANCELADOS 2</t>
  </si>
  <si>
    <t>DESPESAS CUSTEADAS COM RECURSOS VINCULADOS À PARCELA DO PERCENTUAL MÍNIMO QUE NÃO FOI APLICADO EM AÇÕES E SERVIÇOS PÚBLICOS DE SAÚDE 3</t>
  </si>
  <si>
    <t>TOTAL DAS DESPESAS COM SAÚDE NÃO COMPUTADAS (V)</t>
  </si>
  <si>
    <t>TOTAL DAS DESPESAS COM AÇÕES E SERVIÇOS PÚBLICOS DE SAÚDE                 (VI) = (IV-V)</t>
  </si>
  <si>
    <t>PERCENTUAL DE APLICAÇÃO EM AÇÕES E SERVIÇOS PÚBLICOS DE SAÚDE SOBRE A RECEITA DE IMPOSTOS LÍQUIDA E TRANSFERÊNCIAS CONSTITUCIONAIS E LEGAIS (VII%) = (VIh/IIIb x 100) - LIMITE CONSTITUCIONAL 15% 4 e 5</t>
  </si>
  <si>
    <t xml:space="preserve">                           DEMONSTRATIVO DAS RECEITAS E DESPESAS COM AÇÕES E SERVIÇOS PÚBLICOS DE SAÚDE</t>
  </si>
  <si>
    <t>EXECUÇÃO DE RESTOS A PAGAR INSCRITOS COM DISPONIBILIDADE DE CAIXA</t>
  </si>
  <si>
    <t>INSCRITOS</t>
  </si>
  <si>
    <t>PAGOS</t>
  </si>
  <si>
    <t>A PAGAR</t>
  </si>
  <si>
    <t>PARCELA CONSIDERADA NO LIMITE</t>
  </si>
  <si>
    <t xml:space="preserve"> Exercício de 2011</t>
  </si>
  <si>
    <t>Saldo Inicial</t>
  </si>
  <si>
    <t>Despesas Custeadas no Exercício de Referência              (j)</t>
  </si>
  <si>
    <t>Saldo Final  (Não Aplicado)</t>
  </si>
  <si>
    <t>TOTAL (VIII)</t>
  </si>
  <si>
    <t>Despesas Custeadas no Exercício de Referência              (k)</t>
  </si>
  <si>
    <t xml:space="preserve"> Exercício de 2010</t>
  </si>
  <si>
    <t xml:space="preserve"> Exercício de 2012</t>
  </si>
  <si>
    <t>TOTAL (IX)</t>
  </si>
  <si>
    <t>DESPESAS COM SAÚDE  ( Por Subfunção )</t>
  </si>
  <si>
    <t>1 - Essa linha apresentará valor somente no RREO do último Bimestre do Exercício</t>
  </si>
  <si>
    <t>3 - O valor apresentado na intercessão com a coluna "h" ou com a coluna "h+i" (último bimestre) deverá ser o mesmo apresentado no "total k"</t>
  </si>
  <si>
    <t>2 - O valor apresentado na intercessão com a coluna "h" ou com a coluna "h+i" (último bimestre) deverá ser o mesmo apresentado no "total j"</t>
  </si>
  <si>
    <t>4 - Limite anual mínimo a ser cumprido no encerramento do exercício.</t>
  </si>
  <si>
    <t>5 - Durante o exercício esse valor servirá para o monitoramento previsto no art. 23 da LC 141/2012</t>
  </si>
  <si>
    <t xml:space="preserve">    Direitos Futuros</t>
  </si>
  <si>
    <t xml:space="preserve">   Receitas Realizadas </t>
  </si>
  <si>
    <t xml:space="preserve">   Deficit Orçamentário</t>
  </si>
  <si>
    <t xml:space="preserve">   Dotação Inicial</t>
  </si>
  <si>
    <t xml:space="preserve">   Créditos Adicionais</t>
  </si>
  <si>
    <t xml:space="preserve">   Dotação Atualizada</t>
  </si>
  <si>
    <t xml:space="preserve">   Despesas Empenhadas</t>
  </si>
  <si>
    <t xml:space="preserve">   Despesas Liquidadas</t>
  </si>
  <si>
    <t xml:space="preserve">   Superavit Orçamentário</t>
  </si>
  <si>
    <t xml:space="preserve">   Previsão Inicial </t>
  </si>
  <si>
    <t xml:space="preserve">   Previsão Atualizada</t>
  </si>
  <si>
    <t xml:space="preserve">   Saldos de Exercícios Anteriores - (Utilizados para Créditos Adicionais)</t>
  </si>
  <si>
    <t>RECEITAS E DESPESAS DOS REGIMES DE PREVIDÊNCIA</t>
  </si>
  <si>
    <t xml:space="preserve">   Receitas Previdenciárias Realizadas (I)</t>
  </si>
  <si>
    <t xml:space="preserve">   Despesas Previdenciárias Liquidadas (II)</t>
  </si>
  <si>
    <t xml:space="preserve">   Resultado Previdenciário (III) = (I - II)</t>
  </si>
  <si>
    <t xml:space="preserve">   Receitas Previdenciárias Realizadas (IV)</t>
  </si>
  <si>
    <t xml:space="preserve">   Despesas Previdenciárias Liquidadas (V)</t>
  </si>
  <si>
    <t xml:space="preserve">   Resultado Previdenciário (VI) = (IV - V)</t>
  </si>
  <si>
    <t>Meta Fixada no AMF da LDO</t>
  </si>
  <si>
    <t xml:space="preserve">   Poder Executivo</t>
  </si>
  <si>
    <t xml:space="preserve">   Poder Legislativo</t>
  </si>
  <si>
    <t>% Aplicado até o Bimestre</t>
  </si>
  <si>
    <t>Mínimo Anual de &lt;18% / 25%&gt; das Receitas de Impostos em MDE</t>
  </si>
  <si>
    <t xml:space="preserve">RESTOS A PAGAR POR PODER </t>
  </si>
  <si>
    <t xml:space="preserve">    Resultado Previdenciário (III) = (I - II)</t>
  </si>
  <si>
    <t xml:space="preserve">    Resultado Previdenciário (VI) = (IV - V)</t>
  </si>
  <si>
    <t>Limite Constitucional Anual</t>
  </si>
  <si>
    <t>% Mínimo a Aplicar no Exercício</t>
  </si>
  <si>
    <t>DESPESAS COM AÇÕES E SERVIÇOS PÚBLICOS DE SAÚDE</t>
  </si>
  <si>
    <t>Despesas Próprias com Ações e Serviços Públicos de Saúde</t>
  </si>
  <si>
    <t>Resultado Apurado até o Bimestre</t>
  </si>
  <si>
    <t>Pagamento Até o Bimestre</t>
  </si>
  <si>
    <t>Cancelamento Até o Bimestre</t>
  </si>
  <si>
    <t>Saldo a Pagar</t>
  </si>
  <si>
    <t>Exercício 1</t>
  </si>
  <si>
    <t>RECEITAS (EXC. INTRA-ORÇAMENTÁRIAS) - I</t>
  </si>
  <si>
    <t xml:space="preserve">                             RREO - ANEXO 1  (LRF - Art. 52, inciso I, alíneas "a" e "b" do inciso II e §1º)  </t>
  </si>
  <si>
    <t>RECEITAS ADICIONAIS PARA FINANCIAMENTO DA SAÚDE</t>
  </si>
  <si>
    <t>Outras Deduções</t>
  </si>
  <si>
    <t xml:space="preserve">   Direitos individuais, colet. e difusos</t>
  </si>
  <si>
    <t>Contribuições Econômicas - Custeio IP</t>
  </si>
  <si>
    <t xml:space="preserve">                              RELATÓRIO RESUMIDO DA EXECUÇÃO ORÇAMENTÁRIA</t>
  </si>
  <si>
    <t xml:space="preserve">                              BALANÇO ORÇAMENTÁRIO - PREFEITURA MUNICIPAL DE SÃO LUÍS (MA)</t>
  </si>
  <si>
    <t xml:space="preserve">                              ORÇAMENTOS FISCAL E DA SEGURIDADE SOCIAL</t>
  </si>
  <si>
    <t>META DE RES. NOMINAL FIXADA NO ANEXO DE METAS FISCAIS DA LDO PARA O EXERCÍCIO DE REFERÊNCIA</t>
  </si>
  <si>
    <t xml:space="preserve">          Secretaria Municipal de Meio-Ambiente</t>
  </si>
  <si>
    <t xml:space="preserve">PREFEITURA MUNICIPAL DE SÃO LUÍS </t>
  </si>
  <si>
    <t>Fevereiro-2014</t>
  </si>
  <si>
    <t xml:space="preserve"> Exercício de 2013</t>
  </si>
  <si>
    <t xml:space="preserve">   Transporte Hidroviário</t>
  </si>
  <si>
    <t xml:space="preserve">   Assistência criança e ao adolescente</t>
  </si>
  <si>
    <t xml:space="preserve">   Proteção e Benefício ao Trabalhador</t>
  </si>
  <si>
    <t xml:space="preserve">   Difusão Conhec. Cient. Tecnológico</t>
  </si>
  <si>
    <t xml:space="preserve">   Promoção da Produção Animal</t>
  </si>
  <si>
    <t xml:space="preserve"> COMUNICAÇÕES</t>
  </si>
  <si>
    <t xml:space="preserve">    Comunicação Social</t>
  </si>
  <si>
    <t xml:space="preserve">   Reserva de Contingência RPPS</t>
  </si>
  <si>
    <t>Mínimo Anual de 60% do FUNDEB na Remun. do Mag.com Ensino Fundamental e Médio</t>
  </si>
  <si>
    <t>Mínimo Anual de 60% do FUNDEB na Remun. Mag. com Educ. Infantil e Ens.Fundamental</t>
  </si>
  <si>
    <t>Complementação da União ao FUNDEB - Min. Anual de 10%  Total de Rec. do FUNDEB</t>
  </si>
  <si>
    <t>RREO - ANEXO 3 (LRF - Art. 53, Inciso I)</t>
  </si>
  <si>
    <t>Até o Bimestre 2014</t>
  </si>
  <si>
    <t>Maio-2014</t>
  </si>
  <si>
    <t>Junho-2014</t>
  </si>
  <si>
    <t>Julho-2014</t>
  </si>
  <si>
    <t>Agosto-2014</t>
  </si>
  <si>
    <t xml:space="preserve">   Ação Legislativa</t>
  </si>
  <si>
    <t xml:space="preserve">          Fundo Socioambiental do Município</t>
  </si>
  <si>
    <t>Setembro-2014</t>
  </si>
  <si>
    <t>Outubro-2014</t>
  </si>
  <si>
    <t>Secretário Municipal da Fazenda</t>
  </si>
  <si>
    <t>Délcio Rodrigues e Silva Neto</t>
  </si>
  <si>
    <t>Controlador Geral do Município</t>
  </si>
  <si>
    <t>Jairo Câmara de Carvalho Filho</t>
  </si>
  <si>
    <t>Contador Geral do Município</t>
  </si>
  <si>
    <r>
      <t>Raimundo José Rodrigues do Nascimento</t>
    </r>
    <r>
      <rPr>
        <sz val="10"/>
        <rFont val="Arial"/>
        <family val="2"/>
      </rPr>
      <t xml:space="preserve"> </t>
    </r>
  </si>
  <si>
    <t>Novembro-2014</t>
  </si>
  <si>
    <t>Dezembro-2014</t>
  </si>
  <si>
    <t>Em 31 de     Dezembro  2014</t>
  </si>
  <si>
    <t>Em 31 de Dezembro  2014</t>
  </si>
  <si>
    <t xml:space="preserve"> Exercício de 2014</t>
  </si>
  <si>
    <t xml:space="preserve">        Outras</t>
  </si>
  <si>
    <t>DESPESAS COM SAÚDE NÃO COMPUTADAS PARA FINS                                       DE APURAÇÃO DO PERCENTUAL MÍNIMO</t>
  </si>
  <si>
    <t xml:space="preserve">DOTAÇÃO ATUALIZADA                                              </t>
  </si>
  <si>
    <t>Janeiro-2015</t>
  </si>
  <si>
    <t xml:space="preserve">Até o Bimestre </t>
  </si>
  <si>
    <t>Em 31 Dezembro 2014</t>
  </si>
  <si>
    <t>47- SALDO FINANCEIRO DO FUNDEB EM 31 DE DEZEMBRO DE 2014</t>
  </si>
  <si>
    <t>DESPESA LIQUIDADAS</t>
  </si>
  <si>
    <t>No Exercício</t>
  </si>
  <si>
    <t>APORTES REALIZADOS</t>
  </si>
  <si>
    <t>No Exercício Anterior</t>
  </si>
  <si>
    <t>Exercício Anterior</t>
  </si>
  <si>
    <t>DEPESAS LIQUIDADAS</t>
  </si>
  <si>
    <t>META DE RESULTADO PRIMÁRIO FIXADA NO ANEXO DE METAS FISCAIS DA LDO PARA O EXERCÍCIO DE REFERÊNCIA</t>
  </si>
  <si>
    <t>VALOR CORRENTE</t>
  </si>
  <si>
    <t>Até o Bimestre do Exercício Anterior</t>
  </si>
  <si>
    <t>Saldo                         (b)</t>
  </si>
  <si>
    <t>Saldo                        (a)</t>
  </si>
  <si>
    <t>SALDO TOTAL  (a+b)</t>
  </si>
  <si>
    <t>Até o bimestre                                                 (b)</t>
  </si>
  <si>
    <t xml:space="preserve">     5.2  Transferências Diretas - PDDE</t>
  </si>
  <si>
    <t xml:space="preserve">     5.4  Transferências Diretas PNATE  </t>
  </si>
  <si>
    <t xml:space="preserve">     5.5 Outras Transferências do FNDE</t>
  </si>
  <si>
    <t xml:space="preserve">     5.6 Aplicação Financeira dos Recursos do FNDE</t>
  </si>
  <si>
    <t>8. Outras Receitas para Financiamento do Ensino</t>
  </si>
  <si>
    <t>Até o Bimestre (e)</t>
  </si>
  <si>
    <t>%               f=(e/d)x100</t>
  </si>
  <si>
    <t>DOTAÇÃO           INICIAL</t>
  </si>
  <si>
    <t>Até o Bimestre          (g)</t>
  </si>
  <si>
    <t>%                                 h=(g/d)x100</t>
  </si>
  <si>
    <t>c = (b/a)x100</t>
  </si>
  <si>
    <t>16.1 - FUNDEB 60%</t>
  </si>
  <si>
    <t>16.2 - FUNDEB 40%</t>
  </si>
  <si>
    <t>17.1 - FUNDEB 60%</t>
  </si>
  <si>
    <t>17.2 - FUNDEB 40%</t>
  </si>
  <si>
    <t>INDICADORES DO FUNDEB</t>
  </si>
  <si>
    <t>19 - TOTAL DAS DESPESAS DO FUNDEB PARA FINS DE LIMITE (15-18)</t>
  </si>
  <si>
    <t xml:space="preserve">19.1 - MÍNIMO DE 60% DO FUNDEB NA REMUNERAÇÃO DO MAGISTÉRIO  (13 – (16.1+17.1)) / (11) x 100)% </t>
  </si>
  <si>
    <t>19.2 - MÁXIMO DE 40% EM DESPESAS COM MDE, QUE NÃO REMUNERAÇÃO DO MAGISTÉRIO (14-(16.2+17.2))/(11)x(100)%</t>
  </si>
  <si>
    <t>19.3 - MÁXIMO DE 5% NÃO APLICADO NO EXERCÍCIO (100-(19.1+19.2))%</t>
  </si>
  <si>
    <t>21 – DESPESAS CUSTEADAS COM O SALDO DO ITEM 20 ATÉ O 1º TRIMESTRE DE 2015</t>
  </si>
  <si>
    <t>MDE - DESPESAS CUSTEADAS COM A RECEITA RESULTANTE DE IMPOSTOS E RECURSOS DO FUNDEB</t>
  </si>
  <si>
    <t xml:space="preserve">    23.1.1 - Despesas Custeadas com Recursos do FUNDEB </t>
  </si>
  <si>
    <t xml:space="preserve">    23.1.2 - Despesas Custeadas com Outros Recursos de Impostos</t>
  </si>
  <si>
    <t xml:space="preserve">  23.1 - Creche</t>
  </si>
  <si>
    <t xml:space="preserve">  23.2 - Pré-Escola</t>
  </si>
  <si>
    <t xml:space="preserve">    23.2.1 - Despesas Custeadas com Recursos do FUNDEB </t>
  </si>
  <si>
    <t xml:space="preserve">    23.2.2 - Despesas Custeadas com Outros Recursos de Impostos</t>
  </si>
  <si>
    <t>(h) = (g/d)x100</t>
  </si>
  <si>
    <t>OUTRAS DESPESAS CUSTEADAS COM RECEITAS ADICIONAIS PARA FINANCIAM. DO ENSINO</t>
  </si>
  <si>
    <t>44- TOTAL DAS OUTRAS DESPESAS CUSTEADAS COM RECEITAS DESTINADAS AO ENSINO (soma de 40 a 43)</t>
  </si>
  <si>
    <t>CANCELADO EM 2015 (j)</t>
  </si>
  <si>
    <t>46.1 - Executadas com Recursos de Impostos Vinculados ao Ensino</t>
  </si>
  <si>
    <t>46.2 - Executados com Recursos do FUNDEB</t>
  </si>
  <si>
    <t xml:space="preserve">      49.1 - Orçamento do Exercício</t>
  </si>
  <si>
    <t xml:space="preserve">      49.2 -  Restos a Pagar</t>
  </si>
  <si>
    <t>INSCRITAS EM RPNP                (i)</t>
  </si>
  <si>
    <t xml:space="preserve">                                 ORÇAMENTOS FISCAL E DA SEGURIDADE SOCIAL</t>
  </si>
  <si>
    <t xml:space="preserve">         DEMONSTRATIVO DAS RECEITAS E DESPESAS COM MANUTENÇÃO E DESENVOLVIMENTO DO ENSINO - MDE</t>
  </si>
  <si>
    <t xml:space="preserve">             DEMONSTRATIVO DAS RECEITAS E DESPESAS COM MANUTENÇÃO E DESENVOLVIMENTO DO ENSINO - MDE</t>
  </si>
  <si>
    <t>Até o Bimestre                                  (b)</t>
  </si>
  <si>
    <t>Até o Bimestre    (f)</t>
  </si>
  <si>
    <t>% (f/e)x100</t>
  </si>
  <si>
    <t>Até o Bimestre    (g)</t>
  </si>
  <si>
    <t>%        (g/e)x100</t>
  </si>
  <si>
    <t>Até o Bimestre    (h)</t>
  </si>
  <si>
    <t>% (h/IVf)x100</t>
  </si>
  <si>
    <t>Até o Bimestre    (i)</t>
  </si>
  <si>
    <t>%        (i/IVg)x100</t>
  </si>
  <si>
    <t>RESTOS A PAGAR CANCELADOS OU PRESCRITOS</t>
  </si>
  <si>
    <t>%                                                                      (d/c) x 100</t>
  </si>
  <si>
    <t xml:space="preserve"> LIMITE NÃO CUMPRIDO</t>
  </si>
  <si>
    <t>Até o Bimestre    (l)</t>
  </si>
  <si>
    <t>Até o Bimestre    (m)</t>
  </si>
  <si>
    <t>%       (l/total l)x100</t>
  </si>
  <si>
    <t>%        (m/total m)x100</t>
  </si>
  <si>
    <t>VALOR REFERENTE À DIFERENÇA ENTRE O VALOR EXECUTADO E O LIMITE MÍNIMO CONSTITUCIONAL [(VIi - ( 15 x IIIb]/100</t>
  </si>
  <si>
    <t>REGISTROS EFETUADOS EM 2015</t>
  </si>
  <si>
    <t>DESPESAS COM MANUTENÇÃO E DESENVOLVIMENTO DO ENSINO</t>
  </si>
  <si>
    <t>PREVISÃO ATUALIZADA  2015</t>
  </si>
  <si>
    <t xml:space="preserve">     5.3  Transferências Diretas PNAE</t>
  </si>
  <si>
    <t>INSCRITAS EM RPNP                              (i)</t>
  </si>
  <si>
    <t>INSCRITAS EM RPNP                             (i)</t>
  </si>
  <si>
    <t xml:space="preserve">DEDUÇÕES PARA FINS DO LIMITE DO FUNDEB </t>
  </si>
  <si>
    <t>20 – RECURSOS RECEBIDOS DO FUNDEB EM 2014 QUE NÃO FORAM UTILIZADOS</t>
  </si>
  <si>
    <t>DESPESAS COM SAÚDE                                                                                                       (Por Grupo de Natureza da Despesa)</t>
  </si>
  <si>
    <t>CANCELADOS  / PRESCRITOS</t>
  </si>
  <si>
    <t>CONTROLE DOS RESTOS A PAGAR CANCELADOS OU PRESCRITOS  PARA FINS DE APLICAÇÃO DA DISPONIBILIDADE DE CAIXA CONFORME ARTIGO 24, § 1º e 2º</t>
  </si>
  <si>
    <t>CONTROLE DO VALOR REFERENTE AO PERCENTUAL MÍNIMO NÃO CUMPRIDO EM EXERCÍCIOS ANTERIORES PARA FINS DE APLICAÇÃO DOS RECURSOS VINCULADOS CONFORME ARTIGOS 25 e 26</t>
  </si>
  <si>
    <t>Referência: JANEIRO-ABRIL/2015; BIMESTRE: MARÇO-ABRIL/2015</t>
  </si>
  <si>
    <t xml:space="preserve">                            REFERÊNCIA: JANEIRO-ABRIL; BIMESTRE: MARÇO-ABRIL/2015</t>
  </si>
  <si>
    <t>Março-2015</t>
  </si>
  <si>
    <t>Abril-2015</t>
  </si>
  <si>
    <t>Até o bimestre (b)</t>
  </si>
  <si>
    <t xml:space="preserve"> (f) </t>
  </si>
  <si>
    <t xml:space="preserve"> (g)=(e-f) </t>
  </si>
  <si>
    <t xml:space="preserve"> DESPESAS LIQUIDADAS</t>
  </si>
  <si>
    <t>(i)=(e-h)</t>
  </si>
  <si>
    <t>DESPESAS PAGAS ATÉ O BIMESTRE</t>
  </si>
  <si>
    <t>(j)</t>
  </si>
  <si>
    <t xml:space="preserve"> (k) </t>
  </si>
  <si>
    <t xml:space="preserve"> Até o Bimestre </t>
  </si>
  <si>
    <t>SALDO                       (c) = (a-b)</t>
  </si>
  <si>
    <t>(d/total d)</t>
  </si>
  <si>
    <t>(e) = (a-d)</t>
  </si>
  <si>
    <t>(f)</t>
  </si>
  <si>
    <t>DESPESA INTRA-ORÇAM. (II)</t>
  </si>
  <si>
    <t>Publicação: Diário Oficial do Município nº 96</t>
  </si>
  <si>
    <t>Data: 22/05/2015</t>
  </si>
  <si>
    <t xml:space="preserve">  São Luís, 22 de Maio de 2015</t>
  </si>
  <si>
    <t>-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</si>
</sst>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_);[Red]&quot;(R$ &quot;#,##0.00\)"/>
    <numFmt numFmtId="167" formatCode="#,##0.00;[Red]#,##0.00"/>
    <numFmt numFmtId="168" formatCode="0.00_);[Red]\(0.00\)"/>
    <numFmt numFmtId="169" formatCode="mm/yy"/>
    <numFmt numFmtId="170" formatCode="&quot;R$ &quot;#,##0.00_);[Red]\(&quot;R$ &quot;#,##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\-??_);_(@_)"/>
    <numFmt numFmtId="176" formatCode="[$-416]dddd\,\ d&quot; de &quot;mmmm&quot; de &quot;yyyy"/>
    <numFmt numFmtId="177" formatCode="#,##0.00_ ;[Red]\-#,##0.00\ "/>
    <numFmt numFmtId="178" formatCode="&quot;R$&quot;\ #,##0.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%"/>
    <numFmt numFmtId="185" formatCode="0.0000000"/>
    <numFmt numFmtId="186" formatCode="0.000000"/>
    <numFmt numFmtId="187" formatCode="0.00000"/>
    <numFmt numFmtId="188" formatCode="#,##0.0;\-#,##0.0"/>
    <numFmt numFmtId="189" formatCode="0.000000000"/>
    <numFmt numFmtId="190" formatCode="0.0000000000"/>
    <numFmt numFmtId="191" formatCode="0.00000000"/>
    <numFmt numFmtId="192" formatCode="_(* #,##0_);_(* \(#,##0\);_(* \-??_);_(@_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"/>
      <family val="2"/>
    </font>
    <font>
      <b/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sz val="12"/>
      <name val="Arial"/>
      <family val="2"/>
    </font>
    <font>
      <b/>
      <sz val="6"/>
      <name val="Times New Roman"/>
      <family val="1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22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5" fontId="2" fillId="0" borderId="0" xfId="57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65" fontId="3" fillId="0" borderId="0" xfId="57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65" fontId="3" fillId="0" borderId="0" xfId="57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 indent="7"/>
    </xf>
    <xf numFmtId="165" fontId="3" fillId="0" borderId="0" xfId="57" applyFont="1" applyFill="1" applyBorder="1" applyAlignment="1" applyProtection="1">
      <alignment horizontal="right"/>
      <protection/>
    </xf>
    <xf numFmtId="165" fontId="3" fillId="0" borderId="0" xfId="57" applyFont="1" applyFill="1" applyBorder="1" applyAlignment="1" applyProtection="1">
      <alignment horizontal="center"/>
      <protection/>
    </xf>
    <xf numFmtId="166" fontId="3" fillId="0" borderId="0" xfId="57" applyNumberFormat="1" applyFont="1" applyFill="1" applyBorder="1" applyAlignment="1" applyProtection="1">
      <alignment horizontal="right"/>
      <protection/>
    </xf>
    <xf numFmtId="165" fontId="3" fillId="0" borderId="10" xfId="57" applyFont="1" applyFill="1" applyBorder="1" applyAlignment="1" applyProtection="1">
      <alignment horizontal="center" vertical="center"/>
      <protection/>
    </xf>
    <xf numFmtId="165" fontId="3" fillId="0" borderId="11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vertical="center" wrapText="1"/>
      <protection/>
    </xf>
    <xf numFmtId="165" fontId="3" fillId="0" borderId="14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center" vertical="center" wrapText="1"/>
      <protection/>
    </xf>
    <xf numFmtId="165" fontId="4" fillId="0" borderId="16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left" vertical="center"/>
      <protection/>
    </xf>
    <xf numFmtId="165" fontId="4" fillId="0" borderId="16" xfId="57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>
      <alignment horizontal="left" vertical="center"/>
    </xf>
    <xf numFmtId="165" fontId="4" fillId="0" borderId="18" xfId="57" applyFont="1" applyFill="1" applyBorder="1" applyAlignment="1" applyProtection="1">
      <alignment horizontal="left" vertical="center"/>
      <protection/>
    </xf>
    <xf numFmtId="165" fontId="4" fillId="0" borderId="0" xfId="57" applyFont="1" applyFill="1" applyBorder="1" applyAlignment="1" applyProtection="1">
      <alignment horizontal="left" vertical="center"/>
      <protection/>
    </xf>
    <xf numFmtId="165" fontId="4" fillId="0" borderId="12" xfId="57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65" fontId="3" fillId="0" borderId="18" xfId="57" applyFont="1" applyFill="1" applyBorder="1" applyAlignment="1" applyProtection="1">
      <alignment horizontal="left" vertical="center"/>
      <protection/>
    </xf>
    <xf numFmtId="165" fontId="3" fillId="0" borderId="0" xfId="57" applyFont="1" applyFill="1" applyBorder="1" applyAlignment="1" applyProtection="1">
      <alignment horizontal="left" vertical="center"/>
      <protection/>
    </xf>
    <xf numFmtId="165" fontId="3" fillId="0" borderId="12" xfId="57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left" vertical="center" indent="2"/>
    </xf>
    <xf numFmtId="165" fontId="3" fillId="0" borderId="18" xfId="57" applyFont="1" applyFill="1" applyBorder="1" applyAlignment="1" applyProtection="1">
      <alignment horizontal="right" vertical="center"/>
      <protection/>
    </xf>
    <xf numFmtId="165" fontId="3" fillId="0" borderId="12" xfId="57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/>
    </xf>
    <xf numFmtId="165" fontId="4" fillId="0" borderId="18" xfId="57" applyFont="1" applyFill="1" applyBorder="1" applyAlignment="1" applyProtection="1">
      <alignment horizontal="right" vertical="center"/>
      <protection/>
    </xf>
    <xf numFmtId="165" fontId="4" fillId="0" borderId="12" xfId="57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center"/>
    </xf>
    <xf numFmtId="0" fontId="4" fillId="0" borderId="19" xfId="0" applyNumberFormat="1" applyFont="1" applyFill="1" applyBorder="1" applyAlignment="1">
      <alignment horizontal="left" vertical="center"/>
    </xf>
    <xf numFmtId="165" fontId="4" fillId="0" borderId="20" xfId="57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>
      <alignment horizontal="left" vertical="center" indent="2"/>
    </xf>
    <xf numFmtId="165" fontId="4" fillId="0" borderId="12" xfId="57" applyFont="1" applyFill="1" applyBorder="1" applyAlignment="1" applyProtection="1">
      <alignment horizontal="right" vertical="center"/>
      <protection/>
    </xf>
    <xf numFmtId="165" fontId="4" fillId="0" borderId="0" xfId="57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>
      <alignment horizontal="left" vertical="center" indent="5"/>
    </xf>
    <xf numFmtId="165" fontId="3" fillId="0" borderId="12" xfId="57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65" fontId="3" fillId="0" borderId="14" xfId="57" applyFont="1" applyFill="1" applyBorder="1" applyAlignment="1" applyProtection="1">
      <alignment horizontal="right" vertical="center"/>
      <protection/>
    </xf>
    <xf numFmtId="165" fontId="3" fillId="0" borderId="14" xfId="57" applyFont="1" applyFill="1" applyBorder="1" applyAlignment="1" applyProtection="1">
      <alignment horizontal="left" vertical="center"/>
      <protection/>
    </xf>
    <xf numFmtId="165" fontId="4" fillId="0" borderId="11" xfId="57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165" fontId="4" fillId="0" borderId="21" xfId="57" applyFont="1" applyFill="1" applyBorder="1" applyAlignment="1" applyProtection="1">
      <alignment horizontal="right" vertical="center"/>
      <protection/>
    </xf>
    <xf numFmtId="165" fontId="4" fillId="0" borderId="22" xfId="57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65" fontId="4" fillId="0" borderId="15" xfId="57" applyFont="1" applyFill="1" applyBorder="1" applyAlignment="1" applyProtection="1">
      <alignment horizontal="right" vertical="center"/>
      <protection/>
    </xf>
    <xf numFmtId="165" fontId="4" fillId="0" borderId="16" xfId="57" applyFont="1" applyFill="1" applyBorder="1" applyAlignment="1" applyProtection="1">
      <alignment horizontal="right" vertical="center"/>
      <protection/>
    </xf>
    <xf numFmtId="165" fontId="4" fillId="0" borderId="13" xfId="57" applyFont="1" applyFill="1" applyBorder="1" applyAlignment="1" applyProtection="1">
      <alignment horizontal="left" vertical="center"/>
      <protection/>
    </xf>
    <xf numFmtId="165" fontId="4" fillId="0" borderId="14" xfId="57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Alignment="1">
      <alignment horizontal="center"/>
    </xf>
    <xf numFmtId="165" fontId="3" fillId="0" borderId="22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indent="7"/>
    </xf>
    <xf numFmtId="0" fontId="4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left" indent="7"/>
    </xf>
    <xf numFmtId="49" fontId="3" fillId="0" borderId="0" xfId="0" applyNumberFormat="1" applyFont="1" applyFill="1" applyAlignment="1">
      <alignment/>
    </xf>
    <xf numFmtId="165" fontId="3" fillId="0" borderId="23" xfId="57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>
      <alignment/>
    </xf>
    <xf numFmtId="165" fontId="3" fillId="0" borderId="21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/>
    </xf>
    <xf numFmtId="165" fontId="3" fillId="0" borderId="18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18" xfId="57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>
      <alignment horizontal="center" vertical="top"/>
    </xf>
    <xf numFmtId="165" fontId="3" fillId="0" borderId="13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 vertical="top"/>
      <protection/>
    </xf>
    <xf numFmtId="165" fontId="4" fillId="0" borderId="18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/>
      <protection/>
    </xf>
    <xf numFmtId="165" fontId="4" fillId="0" borderId="20" xfId="57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65" fontId="4" fillId="0" borderId="18" xfId="57" applyFont="1" applyFill="1" applyBorder="1" applyAlignment="1" applyProtection="1">
      <alignment vertical="center"/>
      <protection/>
    </xf>
    <xf numFmtId="165" fontId="4" fillId="0" borderId="12" xfId="57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left" vertical="center" indent="1"/>
    </xf>
    <xf numFmtId="165" fontId="3" fillId="0" borderId="18" xfId="57" applyFont="1" applyFill="1" applyBorder="1" applyAlignment="1" applyProtection="1">
      <alignment vertical="center"/>
      <protection/>
    </xf>
    <xf numFmtId="165" fontId="3" fillId="0" borderId="12" xfId="57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4" xfId="57" applyFont="1" applyFill="1" applyBorder="1" applyAlignment="1" applyProtection="1">
      <alignment vertical="center"/>
      <protection/>
    </xf>
    <xf numFmtId="165" fontId="4" fillId="0" borderId="16" xfId="57" applyFont="1" applyFill="1" applyBorder="1" applyAlignment="1" applyProtection="1">
      <alignment/>
      <protection/>
    </xf>
    <xf numFmtId="165" fontId="4" fillId="0" borderId="16" xfId="57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20" xfId="57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3" fillId="0" borderId="14" xfId="57" applyFont="1" applyFill="1" applyBorder="1" applyAlignment="1" applyProtection="1">
      <alignment vertical="center"/>
      <protection/>
    </xf>
    <xf numFmtId="165" fontId="3" fillId="0" borderId="14" xfId="57" applyFont="1" applyFill="1" applyBorder="1" applyAlignment="1" applyProtection="1">
      <alignment horizontal="center"/>
      <protection/>
    </xf>
    <xf numFmtId="165" fontId="4" fillId="0" borderId="13" xfId="57" applyFont="1" applyFill="1" applyBorder="1" applyAlignment="1" applyProtection="1">
      <alignment vertical="center"/>
      <protection/>
    </xf>
    <xf numFmtId="165" fontId="4" fillId="0" borderId="13" xfId="57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>
      <alignment vertical="center"/>
    </xf>
    <xf numFmtId="165" fontId="4" fillId="0" borderId="15" xfId="57" applyFont="1" applyFill="1" applyBorder="1" applyAlignment="1" applyProtection="1">
      <alignment vertical="center"/>
      <protection/>
    </xf>
    <xf numFmtId="165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5" fontId="4" fillId="0" borderId="0" xfId="57" applyFont="1" applyFill="1" applyBorder="1" applyAlignment="1" applyProtection="1">
      <alignment vertical="center"/>
      <protection/>
    </xf>
    <xf numFmtId="165" fontId="8" fillId="0" borderId="0" xfId="57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 indent="7"/>
    </xf>
    <xf numFmtId="2" fontId="14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4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 horizontal="center"/>
    </xf>
    <xf numFmtId="40" fontId="12" fillId="0" borderId="15" xfId="0" applyNumberFormat="1" applyFont="1" applyFill="1" applyBorder="1" applyAlignment="1">
      <alignment horizontal="right" vertical="center"/>
    </xf>
    <xf numFmtId="40" fontId="12" fillId="0" borderId="21" xfId="0" applyNumberFormat="1" applyFont="1" applyFill="1" applyBorder="1" applyAlignment="1">
      <alignment vertical="center"/>
    </xf>
    <xf numFmtId="40" fontId="12" fillId="0" borderId="0" xfId="0" applyNumberFormat="1" applyFont="1" applyFill="1" applyBorder="1" applyAlignment="1">
      <alignment vertical="center"/>
    </xf>
    <xf numFmtId="40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0" fontId="13" fillId="0" borderId="18" xfId="0" applyNumberFormat="1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13" xfId="0" applyNumberFormat="1" applyFont="1" applyFill="1" applyBorder="1" applyAlignment="1">
      <alignment vertical="center"/>
    </xf>
    <xf numFmtId="40" fontId="13" fillId="0" borderId="14" xfId="0" applyNumberFormat="1" applyFont="1" applyFill="1" applyBorder="1" applyAlignment="1">
      <alignment vertical="center"/>
    </xf>
    <xf numFmtId="40" fontId="13" fillId="0" borderId="17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vertical="center"/>
    </xf>
    <xf numFmtId="40" fontId="13" fillId="0" borderId="2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40" fontId="12" fillId="0" borderId="18" xfId="0" applyNumberFormat="1" applyFont="1" applyFill="1" applyBorder="1" applyAlignment="1">
      <alignment vertical="center"/>
    </xf>
    <xf numFmtId="40" fontId="12" fillId="0" borderId="20" xfId="0" applyNumberFormat="1" applyFont="1" applyFill="1" applyBorder="1" applyAlignment="1">
      <alignment vertical="center"/>
    </xf>
    <xf numFmtId="40" fontId="13" fillId="0" borderId="12" xfId="0" applyNumberFormat="1" applyFont="1" applyFill="1" applyBorder="1" applyAlignment="1">
      <alignment vertical="center"/>
    </xf>
    <xf numFmtId="40" fontId="12" fillId="0" borderId="21" xfId="57" applyNumberFormat="1" applyFont="1" applyFill="1" applyBorder="1" applyAlignment="1" applyProtection="1">
      <alignment horizontal="right" vertical="center"/>
      <protection/>
    </xf>
    <xf numFmtId="40" fontId="12" fillId="0" borderId="22" xfId="57" applyNumberFormat="1" applyFont="1" applyFill="1" applyBorder="1" applyAlignment="1" applyProtection="1">
      <alignment horizontal="right" vertical="center"/>
      <protection/>
    </xf>
    <xf numFmtId="40" fontId="13" fillId="0" borderId="18" xfId="57" applyNumberFormat="1" applyFont="1" applyFill="1" applyBorder="1" applyAlignment="1" applyProtection="1">
      <alignment horizontal="right" vertical="center"/>
      <protection/>
    </xf>
    <xf numFmtId="40" fontId="13" fillId="0" borderId="0" xfId="57" applyNumberFormat="1" applyFont="1" applyFill="1" applyBorder="1" applyAlignment="1" applyProtection="1">
      <alignment horizontal="right" vertical="center"/>
      <protection/>
    </xf>
    <xf numFmtId="40" fontId="12" fillId="0" borderId="12" xfId="0" applyNumberFormat="1" applyFont="1" applyFill="1" applyBorder="1" applyAlignment="1">
      <alignment vertical="center"/>
    </xf>
    <xf numFmtId="40" fontId="13" fillId="0" borderId="0" xfId="57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40" fontId="12" fillId="0" borderId="12" xfId="57" applyNumberFormat="1" applyFont="1" applyFill="1" applyBorder="1" applyAlignment="1" applyProtection="1">
      <alignment horizontal="right" vertical="center"/>
      <protection/>
    </xf>
    <xf numFmtId="40" fontId="12" fillId="0" borderId="19" xfId="57" applyNumberFormat="1" applyFont="1" applyFill="1" applyBorder="1" applyAlignment="1" applyProtection="1">
      <alignment horizontal="right" vertical="center"/>
      <protection/>
    </xf>
    <xf numFmtId="40" fontId="12" fillId="0" borderId="12" xfId="57" applyNumberFormat="1" applyFont="1" applyFill="1" applyBorder="1" applyAlignment="1" applyProtection="1">
      <alignment vertical="center"/>
      <protection/>
    </xf>
    <xf numFmtId="40" fontId="13" fillId="0" borderId="10" xfId="0" applyNumberFormat="1" applyFont="1" applyFill="1" applyBorder="1" applyAlignment="1">
      <alignment vertical="center"/>
    </xf>
    <xf numFmtId="40" fontId="12" fillId="0" borderId="15" xfId="0" applyNumberFormat="1" applyFont="1" applyFill="1" applyBorder="1" applyAlignment="1">
      <alignment vertical="center"/>
    </xf>
    <xf numFmtId="40" fontId="12" fillId="0" borderId="16" xfId="0" applyNumberFormat="1" applyFont="1" applyFill="1" applyBorder="1" applyAlignment="1">
      <alignment vertical="center"/>
    </xf>
    <xf numFmtId="40" fontId="12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165" fontId="13" fillId="0" borderId="0" xfId="57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 indent="7"/>
    </xf>
    <xf numFmtId="2" fontId="18" fillId="0" borderId="22" xfId="0" applyNumberFormat="1" applyFont="1" applyFill="1" applyBorder="1" applyAlignment="1">
      <alignment/>
    </xf>
    <xf numFmtId="49" fontId="18" fillId="0" borderId="22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49" fontId="20" fillId="0" borderId="13" xfId="0" applyNumberFormat="1" applyFont="1" applyFill="1" applyBorder="1" applyAlignment="1">
      <alignment horizontal="center" vertical="center" wrapText="1"/>
    </xf>
    <xf numFmtId="165" fontId="18" fillId="0" borderId="0" xfId="57" applyFont="1" applyFill="1" applyBorder="1" applyAlignment="1" applyProtection="1">
      <alignment/>
      <protection/>
    </xf>
    <xf numFmtId="168" fontId="13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7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2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165" fontId="18" fillId="0" borderId="0" xfId="57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vertical="center"/>
    </xf>
    <xf numFmtId="0" fontId="18" fillId="0" borderId="24" xfId="0" applyFont="1" applyBorder="1" applyAlignment="1">
      <alignment horizontal="left" vertical="center" indent="1"/>
    </xf>
    <xf numFmtId="0" fontId="18" fillId="0" borderId="0" xfId="0" applyFont="1" applyFill="1" applyBorder="1" applyAlignment="1">
      <alignment horizontal="right" vertical="center"/>
    </xf>
    <xf numFmtId="49" fontId="18" fillId="0" borderId="11" xfId="0" applyNumberFormat="1" applyFont="1" applyBorder="1" applyAlignment="1">
      <alignment horizontal="left" vertical="center" indent="1"/>
    </xf>
    <xf numFmtId="49" fontId="18" fillId="0" borderId="11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left" vertical="center" indent="2"/>
    </xf>
    <xf numFmtId="49" fontId="18" fillId="0" borderId="11" xfId="0" applyNumberFormat="1" applyFont="1" applyBorder="1" applyAlignment="1">
      <alignment horizontal="left" vertical="center" indent="3"/>
    </xf>
    <xf numFmtId="49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40" fontId="18" fillId="0" borderId="0" xfId="0" applyNumberFormat="1" applyFont="1" applyBorder="1" applyAlignment="1">
      <alignment/>
    </xf>
    <xf numFmtId="37" fontId="18" fillId="0" borderId="0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indent="3"/>
    </xf>
    <xf numFmtId="0" fontId="18" fillId="0" borderId="2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indent="1"/>
    </xf>
    <xf numFmtId="165" fontId="18" fillId="0" borderId="0" xfId="57" applyFont="1" applyFill="1" applyBorder="1" applyAlignment="1" applyProtection="1">
      <alignment horizontal="center"/>
      <protection/>
    </xf>
    <xf numFmtId="165" fontId="23" fillId="0" borderId="0" xfId="57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 indent="1"/>
    </xf>
    <xf numFmtId="168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 indent="7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3" fontId="2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0" fontId="13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indent="7"/>
    </xf>
    <xf numFmtId="0" fontId="1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indent="7"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7"/>
    </xf>
    <xf numFmtId="0" fontId="19" fillId="0" borderId="0" xfId="0" applyFont="1" applyAlignment="1">
      <alignment/>
    </xf>
    <xf numFmtId="0" fontId="18" fillId="0" borderId="0" xfId="49" applyFont="1" applyFill="1" applyAlignment="1">
      <alignment horizontal="left"/>
      <protection/>
    </xf>
    <xf numFmtId="49" fontId="18" fillId="0" borderId="0" xfId="49" applyNumberFormat="1" applyFont="1" applyBorder="1">
      <alignment/>
      <protection/>
    </xf>
    <xf numFmtId="0" fontId="19" fillId="0" borderId="0" xfId="49" applyFont="1" applyFill="1" applyAlignment="1">
      <alignment horizontal="left" vertical="center"/>
      <protection/>
    </xf>
    <xf numFmtId="0" fontId="19" fillId="0" borderId="0" xfId="49" applyFont="1" applyFill="1" applyAlignment="1">
      <alignment horizontal="center" vertical="center"/>
      <protection/>
    </xf>
    <xf numFmtId="49" fontId="19" fillId="0" borderId="13" xfId="49" applyNumberFormat="1" applyFont="1" applyFill="1" applyBorder="1" applyAlignment="1">
      <alignment horizontal="center" vertical="center" wrapText="1"/>
      <protection/>
    </xf>
    <xf numFmtId="3" fontId="26" fillId="0" borderId="17" xfId="49" applyNumberFormat="1" applyFont="1" applyFill="1" applyBorder="1" applyAlignment="1">
      <alignment horizontal="left" vertical="center"/>
      <protection/>
    </xf>
    <xf numFmtId="3" fontId="19" fillId="0" borderId="17" xfId="49" applyNumberFormat="1" applyFont="1" applyFill="1" applyBorder="1" applyAlignment="1">
      <alignment horizontal="left" vertical="center" indent="1"/>
      <protection/>
    </xf>
    <xf numFmtId="165" fontId="19" fillId="0" borderId="18" xfId="60" applyFont="1" applyFill="1" applyBorder="1" applyAlignment="1" applyProtection="1">
      <alignment horizontal="right" vertical="center"/>
      <protection/>
    </xf>
    <xf numFmtId="165" fontId="19" fillId="0" borderId="12" xfId="60" applyFont="1" applyFill="1" applyBorder="1" applyAlignment="1" applyProtection="1">
      <alignment horizontal="right" vertical="center"/>
      <protection/>
    </xf>
    <xf numFmtId="3" fontId="19" fillId="0" borderId="17" xfId="49" applyNumberFormat="1" applyFont="1" applyFill="1" applyBorder="1" applyAlignment="1">
      <alignment horizontal="left" vertical="center" indent="2"/>
      <protection/>
    </xf>
    <xf numFmtId="0" fontId="18" fillId="0" borderId="0" xfId="49" applyFont="1" applyFill="1" applyAlignment="1">
      <alignment horizontal="center" vertical="center"/>
      <protection/>
    </xf>
    <xf numFmtId="3" fontId="19" fillId="0" borderId="0" xfId="49" applyNumberFormat="1" applyFont="1" applyFill="1" applyBorder="1" applyAlignment="1">
      <alignment horizontal="left" vertical="center" indent="2"/>
      <protection/>
    </xf>
    <xf numFmtId="3" fontId="26" fillId="0" borderId="0" xfId="49" applyNumberFormat="1" applyFont="1" applyFill="1" applyBorder="1" applyAlignment="1">
      <alignment horizontal="left" vertical="center"/>
      <protection/>
    </xf>
    <xf numFmtId="165" fontId="26" fillId="0" borderId="18" xfId="60" applyFont="1" applyFill="1" applyBorder="1" applyAlignment="1" applyProtection="1">
      <alignment horizontal="right" vertical="center"/>
      <protection/>
    </xf>
    <xf numFmtId="3" fontId="19" fillId="0" borderId="0" xfId="49" applyNumberFormat="1" applyFont="1" applyFill="1" applyBorder="1" applyAlignment="1">
      <alignment horizontal="left" vertical="center" indent="1"/>
      <protection/>
    </xf>
    <xf numFmtId="0" fontId="23" fillId="0" borderId="0" xfId="49" applyFont="1" applyAlignment="1">
      <alignment horizontal="center" vertical="center"/>
      <protection/>
    </xf>
    <xf numFmtId="3" fontId="26" fillId="0" borderId="15" xfId="49" applyNumberFormat="1" applyFont="1" applyFill="1" applyBorder="1" applyAlignment="1">
      <alignment horizontal="left" vertical="center"/>
      <protection/>
    </xf>
    <xf numFmtId="165" fontId="26" fillId="0" borderId="15" xfId="60" applyFont="1" applyFill="1" applyBorder="1" applyAlignment="1" applyProtection="1">
      <alignment horizontal="right" vertical="center"/>
      <protection/>
    </xf>
    <xf numFmtId="165" fontId="26" fillId="0" borderId="16" xfId="60" applyFont="1" applyFill="1" applyBorder="1" applyAlignment="1" applyProtection="1">
      <alignment horizontal="right" vertical="center"/>
      <protection/>
    </xf>
    <xf numFmtId="0" fontId="26" fillId="0" borderId="15" xfId="49" applyFont="1" applyFill="1" applyBorder="1" applyAlignment="1">
      <alignment horizontal="left" vertical="center"/>
      <protection/>
    </xf>
    <xf numFmtId="0" fontId="18" fillId="0" borderId="10" xfId="49" applyFont="1" applyFill="1" applyBorder="1" applyAlignment="1">
      <alignment horizontal="center" vertical="center"/>
      <protection/>
    </xf>
    <xf numFmtId="3" fontId="18" fillId="0" borderId="10" xfId="49" applyNumberFormat="1" applyFont="1" applyFill="1" applyBorder="1" applyAlignment="1">
      <alignment horizontal="center" vertical="center"/>
      <protection/>
    </xf>
    <xf numFmtId="3" fontId="18" fillId="0" borderId="0" xfId="49" applyNumberFormat="1" applyFont="1" applyFill="1" applyBorder="1" applyAlignment="1">
      <alignment horizontal="center" vertical="center"/>
      <protection/>
    </xf>
    <xf numFmtId="4" fontId="26" fillId="0" borderId="0" xfId="49" applyNumberFormat="1" applyFont="1" applyFill="1" applyBorder="1" applyAlignment="1">
      <alignment horizontal="left" vertical="center" wrapText="1"/>
      <protection/>
    </xf>
    <xf numFmtId="165" fontId="26" fillId="0" borderId="18" xfId="60" applyFont="1" applyFill="1" applyBorder="1" applyAlignment="1" applyProtection="1">
      <alignment horizontal="right" vertical="center" wrapText="1"/>
      <protection/>
    </xf>
    <xf numFmtId="165" fontId="26" fillId="0" borderId="12" xfId="60" applyFont="1" applyFill="1" applyBorder="1" applyAlignment="1" applyProtection="1">
      <alignment horizontal="right" vertical="center" wrapText="1"/>
      <protection/>
    </xf>
    <xf numFmtId="165" fontId="19" fillId="0" borderId="18" xfId="60" applyFont="1" applyFill="1" applyBorder="1" applyAlignment="1" applyProtection="1">
      <alignment horizontal="right" vertical="center" wrapText="1"/>
      <protection/>
    </xf>
    <xf numFmtId="3" fontId="26" fillId="0" borderId="15" xfId="49" applyNumberFormat="1" applyFont="1" applyFill="1" applyBorder="1" applyAlignment="1">
      <alignment vertical="center"/>
      <protection/>
    </xf>
    <xf numFmtId="3" fontId="23" fillId="0" borderId="10" xfId="49" applyNumberFormat="1" applyFont="1" applyFill="1" applyBorder="1" applyAlignment="1">
      <alignment vertical="center"/>
      <protection/>
    </xf>
    <xf numFmtId="165" fontId="18" fillId="0" borderId="10" xfId="60" applyFont="1" applyFill="1" applyBorder="1" applyAlignment="1" applyProtection="1">
      <alignment horizontal="right" vertical="center"/>
      <protection/>
    </xf>
    <xf numFmtId="0" fontId="26" fillId="0" borderId="10" xfId="49" applyFont="1" applyFill="1" applyBorder="1" applyAlignment="1">
      <alignment horizontal="left" vertical="center"/>
      <protection/>
    </xf>
    <xf numFmtId="0" fontId="19" fillId="0" borderId="0" xfId="49" applyFont="1" applyAlignment="1">
      <alignment horizontal="center" vertical="center"/>
      <protection/>
    </xf>
    <xf numFmtId="165" fontId="23" fillId="0" borderId="16" xfId="60" applyFont="1" applyFill="1" applyBorder="1" applyAlignment="1" applyProtection="1">
      <alignment horizontal="center" vertical="center"/>
      <protection/>
    </xf>
    <xf numFmtId="3" fontId="23" fillId="0" borderId="0" xfId="49" applyNumberFormat="1" applyFont="1" applyFill="1" applyBorder="1" applyAlignment="1">
      <alignment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vertical="center" wrapText="1"/>
    </xf>
    <xf numFmtId="37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0" fontId="13" fillId="0" borderId="23" xfId="0" applyFont="1" applyBorder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65" fontId="13" fillId="0" borderId="0" xfId="57" applyFont="1" applyFill="1" applyBorder="1" applyAlignment="1" applyProtection="1">
      <alignment vertical="center"/>
      <protection/>
    </xf>
    <xf numFmtId="4" fontId="13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7" fontId="13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3" fillId="0" borderId="15" xfId="57" applyFont="1" applyFill="1" applyBorder="1" applyAlignment="1" applyProtection="1">
      <alignment horizontal="left" vertical="center"/>
      <protection/>
    </xf>
    <xf numFmtId="165" fontId="13" fillId="0" borderId="11" xfId="57" applyFont="1" applyFill="1" applyBorder="1" applyAlignment="1" applyProtection="1">
      <alignment horizontal="center" vertical="center"/>
      <protection/>
    </xf>
    <xf numFmtId="165" fontId="13" fillId="0" borderId="13" xfId="57" applyFont="1" applyFill="1" applyBorder="1" applyAlignment="1" applyProtection="1">
      <alignment horizontal="left" vertical="center"/>
      <protection/>
    </xf>
    <xf numFmtId="165" fontId="13" fillId="0" borderId="24" xfId="57" applyFont="1" applyFill="1" applyBorder="1" applyAlignment="1" applyProtection="1">
      <alignment horizontal="center" vertical="center"/>
      <protection/>
    </xf>
    <xf numFmtId="165" fontId="13" fillId="0" borderId="17" xfId="57" applyFont="1" applyFill="1" applyBorder="1" applyAlignment="1" applyProtection="1">
      <alignment horizontal="center" vertical="center"/>
      <protection/>
    </xf>
    <xf numFmtId="165" fontId="13" fillId="0" borderId="18" xfId="57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vertical="center"/>
    </xf>
    <xf numFmtId="165" fontId="12" fillId="0" borderId="11" xfId="57" applyFont="1" applyFill="1" applyBorder="1" applyAlignment="1" applyProtection="1">
      <alignment horizontal="center" vertical="center"/>
      <protection/>
    </xf>
    <xf numFmtId="165" fontId="12" fillId="0" borderId="15" xfId="57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18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37" fontId="19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vertical="center"/>
    </xf>
    <xf numFmtId="37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65" fontId="19" fillId="0" borderId="18" xfId="57" applyFont="1" applyFill="1" applyBorder="1" applyAlignment="1" applyProtection="1">
      <alignment vertical="center"/>
      <protection/>
    </xf>
    <xf numFmtId="165" fontId="19" fillId="0" borderId="12" xfId="57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indent="1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1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8" fillId="0" borderId="20" xfId="0" applyFont="1" applyFill="1" applyBorder="1" applyAlignment="1">
      <alignment horizontal="center"/>
    </xf>
    <xf numFmtId="40" fontId="13" fillId="0" borderId="17" xfId="0" applyNumberFormat="1" applyFont="1" applyFill="1" applyBorder="1" applyAlignment="1">
      <alignment horizontal="left" vertical="center"/>
    </xf>
    <xf numFmtId="40" fontId="12" fillId="0" borderId="17" xfId="0" applyNumberFormat="1" applyFont="1" applyFill="1" applyBorder="1" applyAlignment="1">
      <alignment horizontal="left" vertical="center"/>
    </xf>
    <xf numFmtId="0" fontId="18" fillId="33" borderId="0" xfId="49" applyFont="1" applyFill="1" applyAlignment="1">
      <alignment horizontal="center" vertical="center"/>
      <protection/>
    </xf>
    <xf numFmtId="4" fontId="14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right"/>
    </xf>
    <xf numFmtId="4" fontId="12" fillId="0" borderId="13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0" fontId="13" fillId="0" borderId="17" xfId="57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166" fontId="18" fillId="0" borderId="0" xfId="0" applyNumberFormat="1" applyFont="1" applyFill="1" applyAlignment="1">
      <alignment horizontal="right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/>
    </xf>
    <xf numFmtId="40" fontId="13" fillId="0" borderId="24" xfId="0" applyNumberFormat="1" applyFont="1" applyFill="1" applyBorder="1" applyAlignment="1">
      <alignment horizontal="left" vertical="center"/>
    </xf>
    <xf numFmtId="40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0" fontId="12" fillId="0" borderId="23" xfId="0" applyNumberFormat="1" applyFont="1" applyFill="1" applyBorder="1" applyAlignment="1">
      <alignment horizontal="left" vertical="center"/>
    </xf>
    <xf numFmtId="165" fontId="0" fillId="0" borderId="0" xfId="57" applyFont="1" applyFill="1" applyAlignment="1">
      <alignment/>
    </xf>
    <xf numFmtId="40" fontId="13" fillId="0" borderId="0" xfId="0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0" fontId="12" fillId="0" borderId="0" xfId="57" applyNumberFormat="1" applyFont="1" applyFill="1" applyBorder="1" applyAlignment="1" applyProtection="1">
      <alignment horizontal="right" vertical="center"/>
      <protection/>
    </xf>
    <xf numFmtId="40" fontId="13" fillId="0" borderId="0" xfId="0" applyNumberFormat="1" applyFont="1" applyFill="1" applyAlignment="1">
      <alignment horizontal="right"/>
    </xf>
    <xf numFmtId="165" fontId="12" fillId="0" borderId="0" xfId="57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40" fontId="12" fillId="0" borderId="17" xfId="0" applyNumberFormat="1" applyFont="1" applyFill="1" applyBorder="1" applyAlignment="1">
      <alignment vertical="center"/>
    </xf>
    <xf numFmtId="40" fontId="12" fillId="0" borderId="25" xfId="0" applyNumberFormat="1" applyFont="1" applyFill="1" applyBorder="1" applyAlignment="1">
      <alignment vertical="center"/>
    </xf>
    <xf numFmtId="40" fontId="13" fillId="0" borderId="26" xfId="0" applyNumberFormat="1" applyFont="1" applyFill="1" applyBorder="1" applyAlignment="1">
      <alignment vertical="center"/>
    </xf>
    <xf numFmtId="40" fontId="13" fillId="0" borderId="27" xfId="0" applyNumberFormat="1" applyFont="1" applyFill="1" applyBorder="1" applyAlignment="1">
      <alignment vertical="center"/>
    </xf>
    <xf numFmtId="40" fontId="12" fillId="0" borderId="19" xfId="0" applyNumberFormat="1" applyFont="1" applyFill="1" applyBorder="1" applyAlignment="1">
      <alignment vertical="center"/>
    </xf>
    <xf numFmtId="40" fontId="12" fillId="0" borderId="28" xfId="57" applyNumberFormat="1" applyFont="1" applyFill="1" applyBorder="1" applyAlignment="1" applyProtection="1">
      <alignment horizontal="right" vertical="center"/>
      <protection/>
    </xf>
    <xf numFmtId="40" fontId="13" fillId="0" borderId="29" xfId="57" applyNumberFormat="1" applyFont="1" applyFill="1" applyBorder="1" applyAlignment="1" applyProtection="1">
      <alignment horizontal="right" vertical="center"/>
      <protection/>
    </xf>
    <xf numFmtId="40" fontId="13" fillId="0" borderId="29" xfId="0" applyNumberFormat="1" applyFont="1" applyFill="1" applyBorder="1" applyAlignment="1">
      <alignment vertical="center"/>
    </xf>
    <xf numFmtId="40" fontId="13" fillId="0" borderId="30" xfId="0" applyNumberFormat="1" applyFont="1" applyFill="1" applyBorder="1" applyAlignment="1">
      <alignment vertical="center"/>
    </xf>
    <xf numFmtId="40" fontId="12" fillId="0" borderId="17" xfId="57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>
      <alignment horizontal="left" indent="7"/>
    </xf>
    <xf numFmtId="4" fontId="4" fillId="0" borderId="0" xfId="0" applyNumberFormat="1" applyFont="1" applyFill="1" applyAlignment="1">
      <alignment horizontal="left" indent="7"/>
    </xf>
    <xf numFmtId="4" fontId="3" fillId="0" borderId="0" xfId="0" applyNumberFormat="1" applyFont="1" applyFill="1" applyAlignment="1">
      <alignment horizontal="left" indent="7"/>
    </xf>
    <xf numFmtId="0" fontId="4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 indent="4"/>
    </xf>
    <xf numFmtId="0" fontId="3" fillId="0" borderId="24" xfId="0" applyNumberFormat="1" applyFont="1" applyFill="1" applyBorder="1" applyAlignment="1">
      <alignment horizontal="left" vertical="center" indent="4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0" fontId="1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9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7"/>
    </xf>
    <xf numFmtId="49" fontId="18" fillId="0" borderId="0" xfId="0" applyNumberFormat="1" applyFont="1" applyFill="1" applyAlignment="1">
      <alignment horizontal="left" indent="7"/>
    </xf>
    <xf numFmtId="0" fontId="18" fillId="0" borderId="0" xfId="0" applyFont="1" applyFill="1" applyAlignment="1">
      <alignment horizontal="right"/>
    </xf>
    <xf numFmtId="168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 indent="7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indent="7"/>
    </xf>
    <xf numFmtId="49" fontId="13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 indent="7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Alignment="1">
      <alignment vertical="center"/>
    </xf>
    <xf numFmtId="49" fontId="18" fillId="0" borderId="0" xfId="49" applyNumberFormat="1" applyFont="1" applyFill="1" applyBorder="1">
      <alignment/>
      <protection/>
    </xf>
    <xf numFmtId="0" fontId="20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 indent="2"/>
    </xf>
    <xf numFmtId="0" fontId="18" fillId="0" borderId="0" xfId="52" applyFont="1" applyFill="1" applyAlignment="1">
      <alignment horizontal="center"/>
      <protection/>
    </xf>
    <xf numFmtId="0" fontId="18" fillId="34" borderId="0" xfId="52" applyFont="1" applyFill="1" applyAlignment="1">
      <alignment horizontal="center"/>
      <protection/>
    </xf>
    <xf numFmtId="0" fontId="18" fillId="0" borderId="0" xfId="0" applyNumberFormat="1" applyFont="1" applyFill="1" applyAlignment="1">
      <alignment/>
    </xf>
    <xf numFmtId="2" fontId="13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57" applyFont="1" applyFill="1" applyBorder="1" applyAlignment="1" applyProtection="1">
      <alignment vertical="center"/>
      <protection/>
    </xf>
    <xf numFmtId="43" fontId="3" fillId="0" borderId="0" xfId="0" applyNumberFormat="1" applyFont="1" applyFill="1" applyAlignment="1">
      <alignment horizontal="left" indent="7"/>
    </xf>
    <xf numFmtId="43" fontId="4" fillId="0" borderId="0" xfId="0" applyNumberFormat="1" applyFont="1" applyFill="1" applyAlignment="1">
      <alignment horizontal="left" indent="7"/>
    </xf>
    <xf numFmtId="165" fontId="2" fillId="0" borderId="0" xfId="57" applyFont="1" applyFill="1" applyAlignment="1">
      <alignment horizontal="left" indent="7"/>
    </xf>
    <xf numFmtId="165" fontId="33" fillId="0" borderId="22" xfId="57" applyFont="1" applyFill="1" applyBorder="1" applyAlignment="1" applyProtection="1">
      <alignment horizontal="center"/>
      <protection/>
    </xf>
    <xf numFmtId="165" fontId="34" fillId="0" borderId="0" xfId="57" applyFont="1" applyFill="1" applyBorder="1" applyAlignment="1" applyProtection="1">
      <alignment horizontal="right"/>
      <protection/>
    </xf>
    <xf numFmtId="40" fontId="3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18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indent="1"/>
    </xf>
    <xf numFmtId="49" fontId="26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top" wrapText="1"/>
    </xf>
    <xf numFmtId="0" fontId="35" fillId="0" borderId="0" xfId="0" applyFont="1" applyAlignment="1">
      <alignment/>
    </xf>
    <xf numFmtId="40" fontId="13" fillId="35" borderId="31" xfId="0" applyNumberFormat="1" applyFont="1" applyFill="1" applyBorder="1" applyAlignment="1">
      <alignment vertical="center"/>
    </xf>
    <xf numFmtId="40" fontId="13" fillId="35" borderId="0" xfId="0" applyNumberFormat="1" applyFont="1" applyFill="1" applyBorder="1" applyAlignment="1">
      <alignment vertical="center"/>
    </xf>
    <xf numFmtId="40" fontId="13" fillId="35" borderId="18" xfId="0" applyNumberFormat="1" applyFont="1" applyFill="1" applyBorder="1" applyAlignment="1">
      <alignment vertical="center"/>
    </xf>
    <xf numFmtId="40" fontId="13" fillId="35" borderId="13" xfId="0" applyNumberFormat="1" applyFont="1" applyFill="1" applyBorder="1" applyAlignment="1">
      <alignment vertical="center"/>
    </xf>
    <xf numFmtId="40" fontId="12" fillId="35" borderId="32" xfId="0" applyNumberFormat="1" applyFont="1" applyFill="1" applyBorder="1" applyAlignment="1">
      <alignment vertical="center"/>
    </xf>
    <xf numFmtId="40" fontId="12" fillId="35" borderId="33" xfId="0" applyNumberFormat="1" applyFont="1" applyFill="1" applyBorder="1" applyAlignment="1">
      <alignment vertical="center"/>
    </xf>
    <xf numFmtId="40" fontId="12" fillId="35" borderId="12" xfId="0" applyNumberFormat="1" applyFont="1" applyFill="1" applyBorder="1" applyAlignment="1">
      <alignment vertical="center"/>
    </xf>
    <xf numFmtId="40" fontId="13" fillId="35" borderId="12" xfId="0" applyNumberFormat="1" applyFont="1" applyFill="1" applyBorder="1" applyAlignment="1">
      <alignment vertical="center"/>
    </xf>
    <xf numFmtId="40" fontId="12" fillId="35" borderId="20" xfId="0" applyNumberFormat="1" applyFont="1" applyFill="1" applyBorder="1" applyAlignment="1">
      <alignment vertical="center"/>
    </xf>
    <xf numFmtId="40" fontId="12" fillId="35" borderId="32" xfId="57" applyNumberFormat="1" applyFont="1" applyFill="1" applyBorder="1" applyAlignment="1" applyProtection="1">
      <alignment horizontal="right" vertical="center"/>
      <protection/>
    </xf>
    <xf numFmtId="40" fontId="12" fillId="35" borderId="34" xfId="57" applyNumberFormat="1" applyFont="1" applyFill="1" applyBorder="1" applyAlignment="1" applyProtection="1">
      <alignment horizontal="right" vertical="center"/>
      <protection/>
    </xf>
    <xf numFmtId="40" fontId="12" fillId="35" borderId="35" xfId="0" applyNumberFormat="1" applyFont="1" applyFill="1" applyBorder="1" applyAlignment="1">
      <alignment vertical="center"/>
    </xf>
    <xf numFmtId="40" fontId="12" fillId="35" borderId="36" xfId="0" applyNumberFormat="1" applyFont="1" applyFill="1" applyBorder="1" applyAlignment="1">
      <alignment vertical="center"/>
    </xf>
    <xf numFmtId="40" fontId="12" fillId="35" borderId="33" xfId="57" applyNumberFormat="1" applyFont="1" applyFill="1" applyBorder="1" applyAlignment="1" applyProtection="1">
      <alignment horizontal="right" vertical="center"/>
      <protection/>
    </xf>
    <xf numFmtId="40" fontId="12" fillId="35" borderId="35" xfId="57" applyNumberFormat="1" applyFont="1" applyFill="1" applyBorder="1" applyAlignment="1" applyProtection="1">
      <alignment horizontal="right" vertical="center"/>
      <protection/>
    </xf>
    <xf numFmtId="40" fontId="13" fillId="35" borderId="12" xfId="57" applyNumberFormat="1" applyFont="1" applyFill="1" applyBorder="1" applyAlignment="1" applyProtection="1">
      <alignment horizontal="right" vertical="center"/>
      <protection/>
    </xf>
    <xf numFmtId="40" fontId="13" fillId="35" borderId="37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horizontal="center"/>
    </xf>
    <xf numFmtId="164" fontId="3" fillId="35" borderId="12" xfId="57" applyNumberFormat="1" applyFont="1" applyFill="1" applyBorder="1" applyAlignment="1" applyProtection="1">
      <alignment vertical="center"/>
      <protection/>
    </xf>
    <xf numFmtId="165" fontId="4" fillId="35" borderId="18" xfId="57" applyFont="1" applyFill="1" applyBorder="1" applyAlignment="1" applyProtection="1">
      <alignment vertical="center"/>
      <protection/>
    </xf>
    <xf numFmtId="165" fontId="4" fillId="35" borderId="16" xfId="57" applyFont="1" applyFill="1" applyBorder="1" applyAlignment="1" applyProtection="1">
      <alignment/>
      <protection/>
    </xf>
    <xf numFmtId="165" fontId="4" fillId="35" borderId="20" xfId="57" applyFont="1" applyFill="1" applyBorder="1" applyAlignment="1" applyProtection="1">
      <alignment vertical="center"/>
      <protection/>
    </xf>
    <xf numFmtId="165" fontId="4" fillId="35" borderId="12" xfId="57" applyFont="1" applyFill="1" applyBorder="1" applyAlignment="1" applyProtection="1">
      <alignment vertical="center"/>
      <protection/>
    </xf>
    <xf numFmtId="165" fontId="3" fillId="35" borderId="18" xfId="57" applyFont="1" applyFill="1" applyBorder="1" applyAlignment="1" applyProtection="1">
      <alignment vertical="center"/>
      <protection/>
    </xf>
    <xf numFmtId="165" fontId="3" fillId="35" borderId="12" xfId="57" applyFont="1" applyFill="1" applyBorder="1" applyAlignment="1" applyProtection="1">
      <alignment vertical="center"/>
      <protection/>
    </xf>
    <xf numFmtId="165" fontId="85" fillId="0" borderId="0" xfId="57" applyFont="1" applyFill="1" applyBorder="1" applyAlignment="1" applyProtection="1">
      <alignment horizontal="center" vertical="center"/>
      <protection/>
    </xf>
    <xf numFmtId="165" fontId="86" fillId="0" borderId="0" xfId="57" applyFont="1" applyFill="1" applyBorder="1" applyAlignment="1" applyProtection="1">
      <alignment vertical="center"/>
      <protection/>
    </xf>
    <xf numFmtId="0" fontId="18" fillId="35" borderId="0" xfId="0" applyFont="1" applyFill="1" applyAlignment="1">
      <alignment/>
    </xf>
    <xf numFmtId="165" fontId="18" fillId="35" borderId="0" xfId="0" applyNumberFormat="1" applyFont="1" applyFill="1" applyAlignment="1">
      <alignment/>
    </xf>
    <xf numFmtId="3" fontId="26" fillId="0" borderId="17" xfId="49" applyNumberFormat="1" applyFont="1" applyFill="1" applyBorder="1" applyAlignment="1">
      <alignment horizontal="left" vertical="center" indent="1"/>
      <protection/>
    </xf>
    <xf numFmtId="43" fontId="7" fillId="0" borderId="0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left" vertical="center" indent="1"/>
    </xf>
    <xf numFmtId="43" fontId="18" fillId="0" borderId="0" xfId="0" applyNumberFormat="1" applyFont="1" applyFill="1" applyAlignment="1">
      <alignment/>
    </xf>
    <xf numFmtId="165" fontId="18" fillId="0" borderId="0" xfId="0" applyNumberFormat="1" applyFont="1" applyFill="1" applyBorder="1" applyAlignment="1">
      <alignment/>
    </xf>
    <xf numFmtId="43" fontId="18" fillId="0" borderId="0" xfId="49" applyNumberFormat="1" applyFont="1" applyAlignment="1">
      <alignment horizontal="center" vertical="center"/>
      <protection/>
    </xf>
    <xf numFmtId="43" fontId="18" fillId="0" borderId="0" xfId="0" applyNumberFormat="1" applyFont="1" applyAlignment="1">
      <alignment horizontal="center" vertical="center"/>
    </xf>
    <xf numFmtId="165" fontId="0" fillId="0" borderId="0" xfId="57" applyAlignment="1">
      <alignment horizontal="center" vertical="center"/>
    </xf>
    <xf numFmtId="165" fontId="18" fillId="0" borderId="0" xfId="49" applyNumberFormat="1" applyFont="1" applyAlignment="1">
      <alignment horizontal="center" vertical="center"/>
      <protection/>
    </xf>
    <xf numFmtId="43" fontId="13" fillId="0" borderId="0" xfId="0" applyNumberFormat="1" applyFont="1" applyFill="1" applyBorder="1" applyAlignment="1">
      <alignment horizontal="center" vertical="center"/>
    </xf>
    <xf numFmtId="165" fontId="3" fillId="0" borderId="0" xfId="57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43" fontId="7" fillId="0" borderId="0" xfId="0" applyNumberFormat="1" applyFont="1" applyBorder="1" applyAlignment="1">
      <alignment/>
    </xf>
    <xf numFmtId="165" fontId="4" fillId="0" borderId="38" xfId="57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>
      <alignment vertical="center"/>
    </xf>
    <xf numFmtId="40" fontId="13" fillId="0" borderId="39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Border="1" applyAlignment="1">
      <alignment/>
    </xf>
    <xf numFmtId="165" fontId="18" fillId="0" borderId="0" xfId="63" applyNumberFormat="1" applyFont="1" applyFill="1" applyBorder="1" applyAlignment="1" applyProtection="1">
      <alignment/>
      <protection/>
    </xf>
    <xf numFmtId="165" fontId="18" fillId="0" borderId="0" xfId="63" applyNumberFormat="1" applyFont="1" applyFill="1" applyBorder="1" applyAlignment="1" applyProtection="1">
      <alignment horizontal="left" vertical="center"/>
      <protection/>
    </xf>
    <xf numFmtId="165" fontId="23" fillId="0" borderId="0" xfId="63" applyNumberFormat="1" applyFont="1" applyFill="1" applyBorder="1" applyAlignment="1" applyProtection="1">
      <alignment horizontal="center" vertical="center"/>
      <protection/>
    </xf>
    <xf numFmtId="165" fontId="23" fillId="0" borderId="21" xfId="63" applyNumberFormat="1" applyFont="1" applyFill="1" applyBorder="1" applyAlignment="1" applyProtection="1">
      <alignment horizontal="left" vertical="center" wrapText="1"/>
      <protection/>
    </xf>
    <xf numFmtId="165" fontId="18" fillId="0" borderId="12" xfId="63" applyNumberFormat="1" applyFont="1" applyFill="1" applyBorder="1" applyAlignment="1" applyProtection="1">
      <alignment horizontal="right" vertical="center"/>
      <protection/>
    </xf>
    <xf numFmtId="165" fontId="18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15" xfId="63" applyNumberFormat="1" applyFont="1" applyFill="1" applyBorder="1" applyAlignment="1" applyProtection="1">
      <alignment horizontal="right" vertical="center" wrapText="1"/>
      <protection/>
    </xf>
    <xf numFmtId="165" fontId="18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17" xfId="63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top" wrapText="1"/>
    </xf>
    <xf numFmtId="165" fontId="7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0" xfId="0" applyNumberFormat="1" applyFont="1" applyFill="1" applyBorder="1" applyAlignment="1">
      <alignment horizontal="center" vertical="center"/>
    </xf>
    <xf numFmtId="165" fontId="18" fillId="35" borderId="18" xfId="63" applyNumberFormat="1" applyFont="1" applyFill="1" applyBorder="1" applyAlignment="1" applyProtection="1">
      <alignment horizontal="left" vertical="center" wrapText="1"/>
      <protection/>
    </xf>
    <xf numFmtId="165" fontId="23" fillId="35" borderId="18" xfId="63" applyNumberFormat="1" applyFont="1" applyFill="1" applyBorder="1" applyAlignment="1" applyProtection="1">
      <alignment horizontal="left" vertical="center" wrapText="1"/>
      <protection/>
    </xf>
    <xf numFmtId="165" fontId="18" fillId="35" borderId="12" xfId="63" applyNumberFormat="1" applyFont="1" applyFill="1" applyBorder="1" applyAlignment="1" applyProtection="1">
      <alignment horizontal="left" vertical="center" wrapText="1"/>
      <protection/>
    </xf>
    <xf numFmtId="165" fontId="23" fillId="35" borderId="0" xfId="63" applyNumberFormat="1" applyFont="1" applyFill="1" applyBorder="1" applyAlignment="1" applyProtection="1">
      <alignment horizontal="left" vertical="center" wrapText="1"/>
      <protection/>
    </xf>
    <xf numFmtId="165" fontId="23" fillId="35" borderId="15" xfId="63" applyNumberFormat="1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>
      <alignment horizontal="center" vertical="top" wrapText="1"/>
    </xf>
    <xf numFmtId="165" fontId="18" fillId="35" borderId="18" xfId="63" applyNumberFormat="1" applyFont="1" applyFill="1" applyBorder="1" applyAlignment="1" applyProtection="1">
      <alignment horizontal="center" vertical="center"/>
      <protection/>
    </xf>
    <xf numFmtId="165" fontId="26" fillId="35" borderId="15" xfId="0" applyNumberFormat="1" applyFont="1" applyFill="1" applyBorder="1" applyAlignment="1">
      <alignment horizontal="center" vertical="center"/>
    </xf>
    <xf numFmtId="165" fontId="7" fillId="35" borderId="18" xfId="63" applyNumberFormat="1" applyFont="1" applyFill="1" applyBorder="1" applyAlignment="1" applyProtection="1">
      <alignment horizontal="center" vertical="center"/>
      <protection/>
    </xf>
    <xf numFmtId="165" fontId="23" fillId="35" borderId="40" xfId="63" applyNumberFormat="1" applyFont="1" applyFill="1" applyBorder="1" applyAlignment="1" applyProtection="1">
      <alignment horizontal="center" vertical="center"/>
      <protection/>
    </xf>
    <xf numFmtId="43" fontId="4" fillId="0" borderId="18" xfId="57" applyNumberFormat="1" applyFont="1" applyFill="1" applyBorder="1" applyAlignment="1" applyProtection="1">
      <alignment horizontal="right" vertical="center"/>
      <protection/>
    </xf>
    <xf numFmtId="165" fontId="4" fillId="0" borderId="22" xfId="57" applyFont="1" applyFill="1" applyBorder="1" applyAlignment="1" applyProtection="1">
      <alignment horizontal="left" vertical="center"/>
      <protection/>
    </xf>
    <xf numFmtId="165" fontId="0" fillId="0" borderId="0" xfId="57" applyFont="1" applyFill="1" applyBorder="1" applyAlignment="1">
      <alignment/>
    </xf>
    <xf numFmtId="43" fontId="18" fillId="0" borderId="0" xfId="0" applyNumberFormat="1" applyFont="1" applyFill="1" applyBorder="1" applyAlignment="1">
      <alignment horizontal="left" vertical="center" indent="1"/>
    </xf>
    <xf numFmtId="165" fontId="23" fillId="0" borderId="24" xfId="0" applyNumberFormat="1" applyFont="1" applyFill="1" applyBorder="1" applyAlignment="1">
      <alignment horizontal="left" vertical="center" wrapText="1"/>
    </xf>
    <xf numFmtId="0" fontId="23" fillId="33" borderId="0" xfId="49" applyFont="1" applyFill="1" applyAlignment="1">
      <alignment horizontal="center" vertical="center"/>
      <protection/>
    </xf>
    <xf numFmtId="165" fontId="18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164" fontId="36" fillId="0" borderId="0" xfId="0" applyNumberFormat="1" applyFont="1" applyFill="1" applyBorder="1" applyAlignment="1">
      <alignment/>
    </xf>
    <xf numFmtId="165" fontId="4" fillId="0" borderId="12" xfId="57" applyFont="1" applyFill="1" applyBorder="1" applyAlignment="1" applyProtection="1">
      <alignment horizontal="right" vertical="center" wrapText="1"/>
      <protection/>
    </xf>
    <xf numFmtId="43" fontId="4" fillId="0" borderId="18" xfId="57" applyNumberFormat="1" applyFont="1" applyFill="1" applyBorder="1" applyAlignment="1" applyProtection="1">
      <alignment horizontal="left" vertical="center"/>
      <protection/>
    </xf>
    <xf numFmtId="165" fontId="4" fillId="0" borderId="14" xfId="57" applyFont="1" applyFill="1" applyBorder="1" applyAlignment="1" applyProtection="1">
      <alignment horizontal="right" vertical="center"/>
      <protection/>
    </xf>
    <xf numFmtId="3" fontId="26" fillId="0" borderId="0" xfId="49" applyNumberFormat="1" applyFont="1" applyFill="1" applyBorder="1" applyAlignment="1">
      <alignment horizontal="left" vertical="center" inden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 indent="1"/>
    </xf>
    <xf numFmtId="165" fontId="4" fillId="0" borderId="0" xfId="57" applyFont="1" applyFill="1" applyBorder="1" applyAlignment="1" applyProtection="1">
      <alignment horizontal="center" vertical="center" wrapText="1"/>
      <protection/>
    </xf>
    <xf numFmtId="165" fontId="12" fillId="0" borderId="17" xfId="5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65" fontId="18" fillId="0" borderId="41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87" fillId="0" borderId="0" xfId="0" applyFont="1" applyFill="1" applyAlignment="1">
      <alignment horizontal="left" vertical="center" inden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165" fontId="13" fillId="0" borderId="12" xfId="57" applyFont="1" applyFill="1" applyBorder="1" applyAlignment="1" applyProtection="1">
      <alignment horizontal="center" vertical="center"/>
      <protection/>
    </xf>
    <xf numFmtId="165" fontId="13" fillId="0" borderId="40" xfId="57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>
      <alignment vertical="center"/>
    </xf>
    <xf numFmtId="165" fontId="26" fillId="0" borderId="18" xfId="0" applyNumberFormat="1" applyFont="1" applyFill="1" applyBorder="1" applyAlignment="1">
      <alignment vertical="center"/>
    </xf>
    <xf numFmtId="165" fontId="26" fillId="0" borderId="12" xfId="0" applyNumberFormat="1" applyFont="1" applyFill="1" applyBorder="1" applyAlignment="1">
      <alignment vertical="center"/>
    </xf>
    <xf numFmtId="165" fontId="26" fillId="0" borderId="18" xfId="57" applyFont="1" applyFill="1" applyBorder="1" applyAlignment="1" applyProtection="1">
      <alignment vertical="center"/>
      <protection/>
    </xf>
    <xf numFmtId="165" fontId="26" fillId="0" borderId="12" xfId="57" applyFont="1" applyFill="1" applyBorder="1" applyAlignment="1" applyProtection="1">
      <alignment vertical="center"/>
      <protection/>
    </xf>
    <xf numFmtId="165" fontId="18" fillId="0" borderId="17" xfId="63" applyNumberFormat="1" applyFont="1" applyFill="1" applyBorder="1" applyAlignment="1" applyProtection="1">
      <alignment horizontal="right" vertical="center" wrapText="1"/>
      <protection/>
    </xf>
    <xf numFmtId="177" fontId="7" fillId="0" borderId="0" xfId="0" applyNumberFormat="1" applyFont="1" applyBorder="1" applyAlignment="1">
      <alignment/>
    </xf>
    <xf numFmtId="43" fontId="18" fillId="35" borderId="0" xfId="0" applyNumberFormat="1" applyFont="1" applyFill="1" applyAlignment="1">
      <alignment/>
    </xf>
    <xf numFmtId="43" fontId="18" fillId="0" borderId="0" xfId="0" applyNumberFormat="1" applyFont="1" applyAlignment="1">
      <alignment/>
    </xf>
    <xf numFmtId="43" fontId="7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left" vertical="center" indent="8"/>
    </xf>
    <xf numFmtId="2" fontId="13" fillId="0" borderId="0" xfId="0" applyNumberFormat="1" applyFont="1" applyAlignment="1">
      <alignment vertical="center"/>
    </xf>
    <xf numFmtId="166" fontId="18" fillId="0" borderId="0" xfId="0" applyNumberFormat="1" applyFont="1" applyFill="1" applyBorder="1" applyAlignment="1">
      <alignment/>
    </xf>
    <xf numFmtId="0" fontId="19" fillId="0" borderId="0" xfId="51" applyFont="1" applyFill="1" applyBorder="1" applyAlignment="1">
      <alignment horizontal="left" indent="7"/>
      <protection/>
    </xf>
    <xf numFmtId="0" fontId="19" fillId="0" borderId="0" xfId="51" applyFont="1">
      <alignment/>
      <protection/>
    </xf>
    <xf numFmtId="0" fontId="26" fillId="0" borderId="0" xfId="51" applyFont="1" applyFill="1" applyBorder="1" applyAlignment="1">
      <alignment horizontal="left" indent="7"/>
      <protection/>
    </xf>
    <xf numFmtId="0" fontId="26" fillId="0" borderId="0" xfId="51" applyFont="1" applyFill="1" applyAlignment="1">
      <alignment/>
      <protection/>
    </xf>
    <xf numFmtId="2" fontId="19" fillId="0" borderId="0" xfId="51" applyNumberFormat="1" applyFont="1" applyFill="1" applyBorder="1" applyAlignment="1">
      <alignment/>
      <protection/>
    </xf>
    <xf numFmtId="0" fontId="26" fillId="0" borderId="0" xfId="51" applyFont="1" applyFill="1" applyBorder="1" applyAlignment="1">
      <alignment/>
      <protection/>
    </xf>
    <xf numFmtId="0" fontId="19" fillId="0" borderId="0" xfId="51" applyFont="1" applyFill="1" applyAlignment="1">
      <alignment/>
      <protection/>
    </xf>
    <xf numFmtId="49" fontId="19" fillId="0" borderId="0" xfId="51" applyNumberFormat="1" applyFont="1" applyFill="1" applyAlignment="1">
      <alignment horizontal="left" indent="7"/>
      <protection/>
    </xf>
    <xf numFmtId="0" fontId="19" fillId="0" borderId="0" xfId="51" applyNumberFormat="1" applyFont="1">
      <alignment/>
      <protection/>
    </xf>
    <xf numFmtId="49" fontId="19" fillId="0" borderId="0" xfId="51" applyNumberFormat="1" applyFont="1" applyFill="1" applyBorder="1">
      <alignment/>
      <protection/>
    </xf>
    <xf numFmtId="49" fontId="19" fillId="0" borderId="0" xfId="51" applyNumberFormat="1" applyFont="1" applyFill="1">
      <alignment/>
      <protection/>
    </xf>
    <xf numFmtId="165" fontId="19" fillId="0" borderId="0" xfId="62" applyFont="1" applyFill="1" applyBorder="1" applyAlignment="1" applyProtection="1">
      <alignment/>
      <protection/>
    </xf>
    <xf numFmtId="0" fontId="19" fillId="0" borderId="0" xfId="51" applyFont="1" applyFill="1">
      <alignment/>
      <protection/>
    </xf>
    <xf numFmtId="49" fontId="26" fillId="0" borderId="0" xfId="51" applyNumberFormat="1" applyFont="1" applyFill="1" applyBorder="1">
      <alignment/>
      <protection/>
    </xf>
    <xf numFmtId="4" fontId="19" fillId="0" borderId="0" xfId="51" applyNumberFormat="1" applyFont="1" applyFill="1" applyBorder="1" applyAlignment="1">
      <alignment horizontal="right" vertical="center"/>
      <protection/>
    </xf>
    <xf numFmtId="0" fontId="19" fillId="0" borderId="23" xfId="51" applyFont="1" applyFill="1" applyBorder="1" applyAlignment="1">
      <alignment vertical="top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165" fontId="19" fillId="0" borderId="13" xfId="62" applyFont="1" applyFill="1" applyBorder="1" applyAlignment="1" applyProtection="1">
      <alignment horizontal="center" vertical="center" wrapText="1"/>
      <protection/>
    </xf>
    <xf numFmtId="165" fontId="26" fillId="0" borderId="13" xfId="62" applyFont="1" applyFill="1" applyBorder="1" applyAlignment="1" applyProtection="1">
      <alignment horizontal="center" vertical="center" wrapText="1"/>
      <protection/>
    </xf>
    <xf numFmtId="165" fontId="19" fillId="0" borderId="42" xfId="59" applyFont="1" applyBorder="1" applyAlignment="1">
      <alignment vertical="center"/>
    </xf>
    <xf numFmtId="165" fontId="26" fillId="0" borderId="15" xfId="62" applyFont="1" applyFill="1" applyBorder="1" applyAlignment="1" applyProtection="1">
      <alignment horizontal="right" vertical="center"/>
      <protection/>
    </xf>
    <xf numFmtId="165" fontId="26" fillId="0" borderId="42" xfId="59" applyFont="1" applyBorder="1" applyAlignment="1">
      <alignment vertical="center"/>
    </xf>
    <xf numFmtId="4" fontId="26" fillId="0" borderId="15" xfId="51" applyNumberFormat="1" applyFont="1" applyFill="1" applyBorder="1" applyAlignment="1">
      <alignment horizontal="right" vertical="center"/>
      <protection/>
    </xf>
    <xf numFmtId="165" fontId="19" fillId="0" borderId="15" xfId="62" applyFont="1" applyFill="1" applyBorder="1" applyAlignment="1" applyProtection="1">
      <alignment horizontal="right" vertical="center"/>
      <protection/>
    </xf>
    <xf numFmtId="4" fontId="19" fillId="0" borderId="15" xfId="51" applyNumberFormat="1" applyFont="1" applyFill="1" applyBorder="1" applyAlignment="1">
      <alignment horizontal="right" vertical="center"/>
      <protection/>
    </xf>
    <xf numFmtId="4" fontId="19" fillId="0" borderId="0" xfId="51" applyNumberFormat="1" applyFont="1">
      <alignment/>
      <protection/>
    </xf>
    <xf numFmtId="4" fontId="26" fillId="0" borderId="18" xfId="51" applyNumberFormat="1" applyFont="1" applyFill="1" applyBorder="1" applyAlignment="1">
      <alignment horizontal="right" vertical="center"/>
      <protection/>
    </xf>
    <xf numFmtId="4" fontId="26" fillId="0" borderId="21" xfId="51" applyNumberFormat="1" applyFont="1" applyFill="1" applyBorder="1" applyAlignment="1">
      <alignment horizontal="right" vertical="center"/>
      <protection/>
    </xf>
    <xf numFmtId="165" fontId="19" fillId="0" borderId="11" xfId="62" applyFont="1" applyFill="1" applyBorder="1" applyAlignment="1" applyProtection="1">
      <alignment horizontal="right" vertical="center"/>
      <protection/>
    </xf>
    <xf numFmtId="4" fontId="19" fillId="0" borderId="11" xfId="51" applyNumberFormat="1" applyFont="1" applyFill="1" applyBorder="1" applyAlignment="1">
      <alignment horizontal="right" vertical="center"/>
      <protection/>
    </xf>
    <xf numFmtId="165" fontId="19" fillId="0" borderId="42" xfId="59" applyFont="1" applyFill="1" applyBorder="1" applyAlignment="1">
      <alignment horizontal="right" vertical="center"/>
    </xf>
    <xf numFmtId="4" fontId="26" fillId="0" borderId="43" xfId="51" applyNumberFormat="1" applyFont="1" applyFill="1" applyBorder="1" applyAlignment="1">
      <alignment horizontal="right" vertical="center"/>
      <protection/>
    </xf>
    <xf numFmtId="4" fontId="26" fillId="0" borderId="17" xfId="51" applyNumberFormat="1" applyFont="1" applyFill="1" applyBorder="1" applyAlignment="1">
      <alignment horizontal="right" vertical="center"/>
      <protection/>
    </xf>
    <xf numFmtId="165" fontId="19" fillId="0" borderId="42" xfId="59" applyFont="1" applyFill="1" applyBorder="1" applyAlignment="1">
      <alignment vertical="center"/>
    </xf>
    <xf numFmtId="4" fontId="19" fillId="0" borderId="0" xfId="51" applyNumberFormat="1" applyFont="1" applyFill="1">
      <alignment/>
      <protection/>
    </xf>
    <xf numFmtId="0" fontId="19" fillId="0" borderId="0" xfId="51" applyNumberFormat="1" applyFont="1" applyFill="1" applyBorder="1">
      <alignment/>
      <protection/>
    </xf>
    <xf numFmtId="0" fontId="19" fillId="0" borderId="0" xfId="51" applyNumberFormat="1" applyFont="1" applyFill="1">
      <alignment/>
      <protection/>
    </xf>
    <xf numFmtId="4" fontId="26" fillId="0" borderId="0" xfId="51" applyNumberFormat="1" applyFont="1" applyFill="1" applyBorder="1" applyAlignment="1">
      <alignment horizontal="right" vertical="center"/>
      <protection/>
    </xf>
    <xf numFmtId="2" fontId="19" fillId="0" borderId="0" xfId="51" applyNumberFormat="1" applyFont="1" applyFill="1" applyBorder="1" applyAlignment="1">
      <alignment vertical="top"/>
      <protection/>
    </xf>
    <xf numFmtId="165" fontId="19" fillId="0" borderId="0" xfId="62" applyFont="1" applyFill="1" applyBorder="1" applyAlignment="1" applyProtection="1">
      <alignment vertical="center"/>
      <protection/>
    </xf>
    <xf numFmtId="167" fontId="19" fillId="0" borderId="0" xfId="51" applyNumberFormat="1" applyFont="1" applyFill="1" applyAlignment="1">
      <alignment vertical="center"/>
      <protection/>
    </xf>
    <xf numFmtId="4" fontId="19" fillId="0" borderId="0" xfId="51" applyNumberFormat="1" applyFont="1" applyFill="1" applyAlignment="1">
      <alignment vertical="center"/>
      <protection/>
    </xf>
    <xf numFmtId="165" fontId="26" fillId="0" borderId="0" xfId="51" applyNumberFormat="1" applyFont="1" applyFill="1" applyAlignment="1">
      <alignment horizontal="center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165" fontId="2" fillId="0" borderId="0" xfId="59" applyFont="1" applyFill="1" applyAlignment="1">
      <alignment/>
    </xf>
    <xf numFmtId="43" fontId="19" fillId="0" borderId="0" xfId="51" applyNumberFormat="1" applyFont="1" applyFill="1">
      <alignment/>
      <protection/>
    </xf>
    <xf numFmtId="165" fontId="19" fillId="0" borderId="0" xfId="51" applyNumberFormat="1" applyFont="1" applyFill="1">
      <alignment/>
      <protection/>
    </xf>
    <xf numFmtId="165" fontId="0" fillId="0" borderId="0" xfId="57" applyFont="1" applyAlignment="1">
      <alignment/>
    </xf>
    <xf numFmtId="165" fontId="18" fillId="0" borderId="15" xfId="59" applyFont="1" applyFill="1" applyBorder="1" applyAlignment="1" applyProtection="1">
      <alignment horizontal="right" vertical="center" wrapText="1"/>
      <protection/>
    </xf>
    <xf numFmtId="165" fontId="18" fillId="0" borderId="16" xfId="59" applyFont="1" applyFill="1" applyBorder="1" applyAlignment="1" applyProtection="1">
      <alignment horizontal="right" vertical="center" wrapText="1"/>
      <protection/>
    </xf>
    <xf numFmtId="165" fontId="18" fillId="0" borderId="15" xfId="59" applyFont="1" applyFill="1" applyBorder="1" applyAlignment="1" applyProtection="1">
      <alignment horizontal="right" vertical="center"/>
      <protection/>
    </xf>
    <xf numFmtId="165" fontId="18" fillId="0" borderId="15" xfId="59" applyFont="1" applyFill="1" applyBorder="1" applyAlignment="1" applyProtection="1">
      <alignment horizontal="left" vertical="center"/>
      <protection/>
    </xf>
    <xf numFmtId="165" fontId="23" fillId="0" borderId="15" xfId="59" applyFont="1" applyFill="1" applyBorder="1" applyAlignment="1" applyProtection="1">
      <alignment horizontal="right" vertical="center"/>
      <protection/>
    </xf>
    <xf numFmtId="165" fontId="18" fillId="0" borderId="15" xfId="59" applyFont="1" applyFill="1" applyBorder="1" applyAlignment="1" applyProtection="1">
      <alignment vertical="center" wrapText="1"/>
      <protection/>
    </xf>
    <xf numFmtId="165" fontId="18" fillId="0" borderId="0" xfId="59" applyFont="1" applyFill="1" applyBorder="1" applyAlignment="1" applyProtection="1">
      <alignment/>
      <protection/>
    </xf>
    <xf numFmtId="165" fontId="18" fillId="0" borderId="0" xfId="59" applyFont="1" applyFill="1" applyBorder="1" applyAlignment="1" applyProtection="1">
      <alignment horizontal="center" vertical="center" wrapText="1"/>
      <protection/>
    </xf>
    <xf numFmtId="165" fontId="18" fillId="0" borderId="0" xfId="59" applyFont="1" applyFill="1" applyBorder="1" applyAlignment="1" applyProtection="1">
      <alignment horizontal="center"/>
      <protection/>
    </xf>
    <xf numFmtId="165" fontId="18" fillId="0" borderId="10" xfId="59" applyFont="1" applyFill="1" applyBorder="1" applyAlignment="1" applyProtection="1">
      <alignment horizontal="center" vertical="center" wrapText="1"/>
      <protection/>
    </xf>
    <xf numFmtId="165" fontId="23" fillId="0" borderId="0" xfId="59" applyFont="1" applyFill="1" applyBorder="1" applyAlignment="1" applyProtection="1">
      <alignment horizontal="right" vertical="center"/>
      <protection/>
    </xf>
    <xf numFmtId="165" fontId="23" fillId="0" borderId="0" xfId="59" applyFont="1" applyFill="1" applyBorder="1" applyAlignment="1" applyProtection="1">
      <alignment horizontal="center" vertical="center"/>
      <protection/>
    </xf>
    <xf numFmtId="4" fontId="19" fillId="0" borderId="0" xfId="51" applyNumberFormat="1" applyFont="1" applyFill="1" applyAlignment="1">
      <alignment horizontal="center" vertical="center"/>
      <protection/>
    </xf>
    <xf numFmtId="165" fontId="0" fillId="0" borderId="0" xfId="57" applyFont="1" applyFill="1" applyAlignment="1">
      <alignment/>
    </xf>
    <xf numFmtId="0" fontId="88" fillId="0" borderId="0" xfId="0" applyFont="1" applyFill="1" applyAlignment="1">
      <alignment horizontal="left" vertical="center" indent="1"/>
    </xf>
    <xf numFmtId="165" fontId="23" fillId="0" borderId="15" xfId="59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vertical="center"/>
    </xf>
    <xf numFmtId="165" fontId="23" fillId="0" borderId="15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horizontal="left" vertical="center"/>
    </xf>
    <xf numFmtId="165" fontId="23" fillId="0" borderId="13" xfId="59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2"/>
    </xf>
    <xf numFmtId="49" fontId="23" fillId="0" borderId="11" xfId="0" applyNumberFormat="1" applyFont="1" applyBorder="1" applyAlignment="1">
      <alignment horizontal="left" vertical="center" indent="1"/>
    </xf>
    <xf numFmtId="165" fontId="23" fillId="0" borderId="15" xfId="59" applyFont="1" applyFill="1" applyBorder="1" applyAlignment="1" applyProtection="1">
      <alignment vertical="center" wrapText="1"/>
      <protection/>
    </xf>
    <xf numFmtId="49" fontId="23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 indent="2"/>
    </xf>
    <xf numFmtId="0" fontId="23" fillId="0" borderId="0" xfId="0" applyFont="1" applyBorder="1" applyAlignment="1">
      <alignment horizontal="justify" vertical="top" wrapText="1"/>
    </xf>
    <xf numFmtId="40" fontId="89" fillId="0" borderId="18" xfId="0" applyNumberFormat="1" applyFont="1" applyFill="1" applyBorder="1" applyAlignment="1">
      <alignment vertical="center"/>
    </xf>
    <xf numFmtId="40" fontId="89" fillId="0" borderId="0" xfId="0" applyNumberFormat="1" applyFont="1" applyFill="1" applyBorder="1" applyAlignment="1">
      <alignment vertical="center"/>
    </xf>
    <xf numFmtId="40" fontId="89" fillId="0" borderId="17" xfId="0" applyNumberFormat="1" applyFont="1" applyFill="1" applyBorder="1" applyAlignment="1">
      <alignment vertical="center"/>
    </xf>
    <xf numFmtId="40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40" fontId="8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165" fontId="0" fillId="0" borderId="0" xfId="57" applyFont="1" applyFill="1" applyAlignment="1">
      <alignment/>
    </xf>
    <xf numFmtId="165" fontId="19" fillId="0" borderId="0" xfId="51" applyNumberFormat="1" applyFont="1" applyFill="1" applyAlignment="1">
      <alignment horizontal="left" indent="7"/>
      <protection/>
    </xf>
    <xf numFmtId="0" fontId="18" fillId="35" borderId="0" xfId="49" applyFont="1" applyFill="1" applyAlignment="1">
      <alignment horizontal="center" vertical="center"/>
      <protection/>
    </xf>
    <xf numFmtId="43" fontId="18" fillId="35" borderId="0" xfId="49" applyNumberFormat="1" applyFont="1" applyFill="1" applyAlignment="1">
      <alignment horizontal="center" vertical="center"/>
      <protection/>
    </xf>
    <xf numFmtId="165" fontId="0" fillId="35" borderId="0" xfId="57" applyFont="1" applyFill="1" applyAlignment="1">
      <alignment horizontal="center" vertical="center"/>
    </xf>
    <xf numFmtId="165" fontId="18" fillId="35" borderId="0" xfId="49" applyNumberFormat="1" applyFont="1" applyFill="1" applyAlignment="1">
      <alignment horizontal="center" vertical="center"/>
      <protection/>
    </xf>
    <xf numFmtId="4" fontId="18" fillId="35" borderId="0" xfId="49" applyNumberFormat="1" applyFont="1" applyFill="1" applyAlignment="1">
      <alignment horizontal="center" vertical="center"/>
      <protection/>
    </xf>
    <xf numFmtId="0" fontId="23" fillId="35" borderId="0" xfId="49" applyFont="1" applyFill="1" applyAlignment="1">
      <alignment horizontal="center" vertical="center"/>
      <protection/>
    </xf>
    <xf numFmtId="43" fontId="23" fillId="35" borderId="0" xfId="49" applyNumberFormat="1" applyFont="1" applyFill="1" applyAlignment="1">
      <alignment horizontal="center" vertical="center"/>
      <protection/>
    </xf>
    <xf numFmtId="4" fontId="26" fillId="35" borderId="0" xfId="57" applyNumberFormat="1" applyFont="1" applyFill="1" applyBorder="1" applyAlignment="1" applyProtection="1">
      <alignment horizontal="right" vertical="center"/>
      <protection/>
    </xf>
    <xf numFmtId="0" fontId="18" fillId="0" borderId="29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left" vertical="center"/>
      <protection/>
    </xf>
    <xf numFmtId="165" fontId="23" fillId="35" borderId="18" xfId="63" applyNumberFormat="1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65" fontId="18" fillId="0" borderId="26" xfId="59" applyFont="1" applyFill="1" applyBorder="1" applyAlignment="1" applyProtection="1">
      <alignment horizontal="center" vertical="center"/>
      <protection/>
    </xf>
    <xf numFmtId="49" fontId="22" fillId="0" borderId="46" xfId="0" applyNumberFormat="1" applyFont="1" applyFill="1" applyBorder="1" applyAlignment="1">
      <alignment vertical="center"/>
    </xf>
    <xf numFmtId="49" fontId="22" fillId="0" borderId="46" xfId="0" applyNumberFormat="1" applyFont="1" applyFill="1" applyBorder="1" applyAlignment="1">
      <alignment horizontal="left" vertical="center"/>
    </xf>
    <xf numFmtId="49" fontId="22" fillId="0" borderId="47" xfId="0" applyNumberFormat="1" applyFont="1" applyFill="1" applyBorder="1" applyAlignment="1">
      <alignment vertical="center"/>
    </xf>
    <xf numFmtId="4" fontId="26" fillId="0" borderId="12" xfId="51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165" fontId="23" fillId="0" borderId="12" xfId="59" applyFont="1" applyFill="1" applyBorder="1" applyAlignment="1" applyProtection="1">
      <alignment horizontal="center" vertical="center"/>
      <protection/>
    </xf>
    <xf numFmtId="165" fontId="23" fillId="0" borderId="26" xfId="59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165" fontId="11" fillId="0" borderId="0" xfId="59" applyFont="1" applyFill="1" applyBorder="1" applyAlignment="1">
      <alignment/>
    </xf>
    <xf numFmtId="165" fontId="23" fillId="0" borderId="20" xfId="59" applyFont="1" applyFill="1" applyBorder="1" applyAlignment="1" applyProtection="1">
      <alignment horizontal="right" vertical="center"/>
      <protection/>
    </xf>
    <xf numFmtId="165" fontId="23" fillId="35" borderId="20" xfId="59" applyFont="1" applyFill="1" applyBorder="1" applyAlignment="1" applyProtection="1">
      <alignment horizontal="center" vertical="center"/>
      <protection/>
    </xf>
    <xf numFmtId="165" fontId="23" fillId="0" borderId="48" xfId="59" applyFont="1" applyFill="1" applyBorder="1" applyAlignment="1" applyProtection="1">
      <alignment horizontal="center" vertical="center"/>
      <protection/>
    </xf>
    <xf numFmtId="165" fontId="23" fillId="0" borderId="12" xfId="59" applyFont="1" applyFill="1" applyBorder="1" applyAlignment="1" applyProtection="1">
      <alignment horizontal="right" vertical="center"/>
      <protection/>
    </xf>
    <xf numFmtId="165" fontId="23" fillId="35" borderId="12" xfId="59" applyFont="1" applyFill="1" applyBorder="1" applyAlignment="1" applyProtection="1">
      <alignment horizontal="center" vertical="center"/>
      <protection/>
    </xf>
    <xf numFmtId="165" fontId="23" fillId="35" borderId="26" xfId="59" applyFont="1" applyFill="1" applyBorder="1" applyAlignment="1" applyProtection="1">
      <alignment horizontal="center" vertical="center"/>
      <protection/>
    </xf>
    <xf numFmtId="165" fontId="18" fillId="0" borderId="12" xfId="59" applyFont="1" applyFill="1" applyBorder="1" applyAlignment="1" applyProtection="1">
      <alignment horizontal="right" vertical="center"/>
      <protection/>
    </xf>
    <xf numFmtId="165" fontId="18" fillId="0" borderId="12" xfId="59" applyFont="1" applyFill="1" applyBorder="1" applyAlignment="1" applyProtection="1">
      <alignment horizontal="center" vertical="center"/>
      <protection/>
    </xf>
    <xf numFmtId="165" fontId="18" fillId="35" borderId="12" xfId="59" applyFont="1" applyFill="1" applyBorder="1" applyAlignment="1" applyProtection="1">
      <alignment horizontal="center" vertical="center"/>
      <protection/>
    </xf>
    <xf numFmtId="165" fontId="18" fillId="0" borderId="26" xfId="59" applyNumberFormat="1" applyFont="1" applyFill="1" applyBorder="1" applyAlignment="1" applyProtection="1">
      <alignment horizontal="center" vertical="center"/>
      <protection/>
    </xf>
    <xf numFmtId="165" fontId="23" fillId="0" borderId="26" xfId="59" applyNumberFormat="1" applyFont="1" applyFill="1" applyBorder="1" applyAlignment="1" applyProtection="1">
      <alignment horizontal="center" vertical="center"/>
      <protection/>
    </xf>
    <xf numFmtId="165" fontId="18" fillId="0" borderId="0" xfId="59" applyFont="1" applyFill="1" applyBorder="1" applyAlignment="1" applyProtection="1">
      <alignment horizontal="center" vertical="center"/>
      <protection/>
    </xf>
    <xf numFmtId="165" fontId="18" fillId="0" borderId="39" xfId="59" applyFont="1" applyFill="1" applyBorder="1" applyAlignment="1" applyProtection="1">
      <alignment horizontal="center" vertical="center"/>
      <protection/>
    </xf>
    <xf numFmtId="165" fontId="23" fillId="0" borderId="39" xfId="59" applyFont="1" applyFill="1" applyBorder="1" applyAlignment="1" applyProtection="1">
      <alignment horizontal="center" vertical="center"/>
      <protection/>
    </xf>
    <xf numFmtId="165" fontId="23" fillId="0" borderId="18" xfId="59" applyFont="1" applyFill="1" applyBorder="1" applyAlignment="1" applyProtection="1">
      <alignment horizontal="right" vertical="center"/>
      <protection/>
    </xf>
    <xf numFmtId="165" fontId="23" fillId="0" borderId="18" xfId="59" applyFont="1" applyFill="1" applyBorder="1" applyAlignment="1" applyProtection="1">
      <alignment horizontal="center" vertical="center"/>
      <protection/>
    </xf>
    <xf numFmtId="165" fontId="18" fillId="0" borderId="18" xfId="59" applyFont="1" applyFill="1" applyBorder="1" applyAlignment="1" applyProtection="1">
      <alignment horizontal="right" vertical="center"/>
      <protection/>
    </xf>
    <xf numFmtId="165" fontId="18" fillId="0" borderId="49" xfId="59" applyFont="1" applyFill="1" applyBorder="1" applyAlignment="1" applyProtection="1">
      <alignment horizontal="center" vertical="center"/>
      <protection/>
    </xf>
    <xf numFmtId="165" fontId="23" fillId="35" borderId="16" xfId="59" applyFont="1" applyFill="1" applyBorder="1" applyAlignment="1" applyProtection="1">
      <alignment horizontal="right" vertical="center"/>
      <protection/>
    </xf>
    <xf numFmtId="40" fontId="13" fillId="0" borderId="0" xfId="59" applyNumberFormat="1" applyFont="1" applyFill="1" applyBorder="1" applyAlignment="1" applyProtection="1">
      <alignment vertical="center"/>
      <protection/>
    </xf>
    <xf numFmtId="0" fontId="26" fillId="0" borderId="47" xfId="51" applyFont="1" applyFill="1" applyBorder="1" applyAlignment="1">
      <alignment horizontal="center" vertical="center"/>
      <protection/>
    </xf>
    <xf numFmtId="0" fontId="26" fillId="0" borderId="47" xfId="51" applyFont="1" applyFill="1" applyBorder="1" applyAlignment="1">
      <alignment horizontal="left" vertical="center"/>
      <protection/>
    </xf>
    <xf numFmtId="165" fontId="19" fillId="0" borderId="47" xfId="62" applyFont="1" applyFill="1" applyBorder="1" applyAlignment="1" applyProtection="1">
      <alignment horizontal="left" vertical="center"/>
      <protection/>
    </xf>
    <xf numFmtId="165" fontId="26" fillId="0" borderId="46" xfId="62" applyFont="1" applyFill="1" applyBorder="1" applyAlignment="1" applyProtection="1">
      <alignment horizontal="left" vertical="center"/>
      <protection/>
    </xf>
    <xf numFmtId="165" fontId="26" fillId="0" borderId="47" xfId="62" applyFont="1" applyFill="1" applyBorder="1" applyAlignment="1" applyProtection="1">
      <alignment horizontal="left" vertical="center"/>
      <protection/>
    </xf>
    <xf numFmtId="165" fontId="19" fillId="0" borderId="50" xfId="62" applyFont="1" applyFill="1" applyBorder="1" applyAlignment="1" applyProtection="1">
      <alignment horizontal="left" vertical="center"/>
      <protection/>
    </xf>
    <xf numFmtId="165" fontId="26" fillId="0" borderId="51" xfId="62" applyFont="1" applyFill="1" applyBorder="1" applyAlignment="1" applyProtection="1">
      <alignment horizontal="left" vertical="center"/>
      <protection/>
    </xf>
    <xf numFmtId="165" fontId="26" fillId="0" borderId="50" xfId="62" applyFont="1" applyFill="1" applyBorder="1" applyAlignment="1" applyProtection="1">
      <alignment horizontal="left" vertical="center"/>
      <protection/>
    </xf>
    <xf numFmtId="165" fontId="2" fillId="0" borderId="0" xfId="59" applyFont="1" applyFill="1" applyAlignment="1">
      <alignment horizontal="right"/>
    </xf>
    <xf numFmtId="0" fontId="13" fillId="0" borderId="41" xfId="0" applyFont="1" applyBorder="1" applyAlignment="1">
      <alignment horizontal="left" vertical="center"/>
    </xf>
    <xf numFmtId="165" fontId="13" fillId="0" borderId="52" xfId="57" applyFont="1" applyFill="1" applyBorder="1" applyAlignment="1" applyProtection="1">
      <alignment horizontal="center" vertical="center"/>
      <protection/>
    </xf>
    <xf numFmtId="9" fontId="13" fillId="0" borderId="52" xfId="0" applyNumberFormat="1" applyFont="1" applyBorder="1" applyAlignment="1">
      <alignment horizontal="center" vertical="center"/>
    </xf>
    <xf numFmtId="165" fontId="13" fillId="0" borderId="39" xfId="57" applyFont="1" applyFill="1" applyBorder="1" applyAlignment="1" applyProtection="1">
      <alignment horizontal="center" vertical="center"/>
      <protection/>
    </xf>
    <xf numFmtId="9" fontId="13" fillId="0" borderId="39" xfId="0" applyNumberFormat="1" applyFont="1" applyBorder="1" applyAlignment="1">
      <alignment horizontal="center" vertical="center"/>
    </xf>
    <xf numFmtId="0" fontId="19" fillId="0" borderId="0" xfId="52" applyFont="1" applyFill="1" applyAlignment="1">
      <alignment horizontal="left" indent="7"/>
      <protection/>
    </xf>
    <xf numFmtId="0" fontId="18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49" fontId="19" fillId="0" borderId="0" xfId="52" applyNumberFormat="1" applyFont="1" applyFill="1" applyAlignment="1">
      <alignment horizontal="left" indent="7"/>
      <protection/>
    </xf>
    <xf numFmtId="2" fontId="18" fillId="0" borderId="0" xfId="52" applyNumberFormat="1" applyFont="1" applyFill="1" applyAlignment="1">
      <alignment/>
      <protection/>
    </xf>
    <xf numFmtId="0" fontId="18" fillId="0" borderId="0" xfId="52" applyFont="1" applyFill="1" applyAlignment="1">
      <alignment/>
      <protection/>
    </xf>
    <xf numFmtId="170" fontId="18" fillId="0" borderId="0" xfId="52" applyNumberFormat="1" applyFont="1" applyFill="1" applyAlignment="1">
      <alignment horizontal="right"/>
      <protection/>
    </xf>
    <xf numFmtId="0" fontId="18" fillId="0" borderId="34" xfId="52" applyFont="1" applyFill="1" applyBorder="1" applyAlignment="1">
      <alignment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" fontId="18" fillId="0" borderId="42" xfId="52" applyNumberFormat="1" applyFont="1" applyFill="1" applyBorder="1" applyAlignment="1">
      <alignment vertical="center"/>
      <protection/>
    </xf>
    <xf numFmtId="10" fontId="18" fillId="0" borderId="42" xfId="55" applyNumberFormat="1" applyFont="1" applyFill="1" applyBorder="1" applyAlignment="1">
      <alignment vertical="center"/>
    </xf>
    <xf numFmtId="0" fontId="23" fillId="0" borderId="31" xfId="52" applyFont="1" applyFill="1" applyBorder="1" applyAlignment="1">
      <alignment vertical="center"/>
      <protection/>
    </xf>
    <xf numFmtId="0" fontId="18" fillId="0" borderId="31" xfId="52" applyFont="1" applyFill="1" applyBorder="1" applyAlignment="1">
      <alignment vertical="center"/>
      <protection/>
    </xf>
    <xf numFmtId="164" fontId="23" fillId="0" borderId="42" xfId="64" applyNumberFormat="1" applyFont="1" applyFill="1" applyBorder="1" applyAlignment="1">
      <alignment vertical="center"/>
    </xf>
    <xf numFmtId="164" fontId="23" fillId="0" borderId="42" xfId="64" applyNumberFormat="1" applyFont="1" applyFill="1" applyBorder="1" applyAlignment="1">
      <alignment horizontal="center" vertical="center"/>
    </xf>
    <xf numFmtId="164" fontId="18" fillId="0" borderId="42" xfId="64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3" fillId="0" borderId="53" xfId="52" applyFont="1" applyFill="1" applyBorder="1" applyAlignment="1">
      <alignment vertical="center"/>
      <protection/>
    </xf>
    <xf numFmtId="165" fontId="23" fillId="0" borderId="0" xfId="59" applyFont="1" applyAlignment="1">
      <alignment vertical="center"/>
    </xf>
    <xf numFmtId="164" fontId="18" fillId="0" borderId="53" xfId="52" applyNumberFormat="1" applyFont="1" applyFill="1" applyBorder="1" applyAlignment="1">
      <alignment vertical="center"/>
      <protection/>
    </xf>
    <xf numFmtId="43" fontId="18" fillId="0" borderId="31" xfId="52" applyNumberFormat="1" applyFont="1" applyFill="1" applyBorder="1" applyAlignment="1">
      <alignment vertical="center"/>
      <protection/>
    </xf>
    <xf numFmtId="164" fontId="18" fillId="0" borderId="0" xfId="52" applyNumberFormat="1" applyFont="1" applyFill="1" applyBorder="1" applyAlignment="1">
      <alignment vertical="center"/>
      <protection/>
    </xf>
    <xf numFmtId="39" fontId="18" fillId="0" borderId="0" xfId="52" applyNumberFormat="1" applyFont="1" applyFill="1" applyBorder="1" applyAlignment="1">
      <alignment vertical="center"/>
      <protection/>
    </xf>
    <xf numFmtId="165" fontId="18" fillId="0" borderId="0" xfId="59" applyFont="1" applyAlignment="1">
      <alignment vertical="center"/>
    </xf>
    <xf numFmtId="0" fontId="18" fillId="0" borderId="54" xfId="52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165" fontId="18" fillId="0" borderId="0" xfId="59" applyFont="1" applyAlignment="1">
      <alignment/>
    </xf>
    <xf numFmtId="0" fontId="19" fillId="0" borderId="0" xfId="52" applyFont="1" applyFill="1" applyAlignment="1">
      <alignment horizontal="center"/>
      <protection/>
    </xf>
    <xf numFmtId="49" fontId="18" fillId="0" borderId="0" xfId="52" applyNumberFormat="1" applyFont="1" applyFill="1" applyBorder="1" applyAlignment="1">
      <alignment horizontal="right" indent="7"/>
      <protection/>
    </xf>
    <xf numFmtId="0" fontId="18" fillId="0" borderId="0" xfId="52" applyFont="1" applyFill="1" applyBorder="1" applyAlignment="1">
      <alignment horizontal="right" indent="7"/>
      <protection/>
    </xf>
    <xf numFmtId="2" fontId="18" fillId="0" borderId="0" xfId="52" applyNumberFormat="1" applyFont="1" applyFill="1" applyBorder="1" applyAlignment="1">
      <alignment horizontal="left"/>
      <protection/>
    </xf>
    <xf numFmtId="2" fontId="18" fillId="0" borderId="41" xfId="52" applyNumberFormat="1" applyFont="1" applyFill="1" applyBorder="1" applyAlignment="1">
      <alignment horizontal="left"/>
      <protection/>
    </xf>
    <xf numFmtId="0" fontId="18" fillId="0" borderId="0" xfId="52" applyFont="1" applyFill="1" applyBorder="1" applyAlignment="1">
      <alignment horizontal="right"/>
      <protection/>
    </xf>
    <xf numFmtId="0" fontId="18" fillId="0" borderId="0" xfId="52" applyFont="1" applyFill="1" applyBorder="1" applyAlignment="1">
      <alignment/>
      <protection/>
    </xf>
    <xf numFmtId="43" fontId="0" fillId="0" borderId="0" xfId="0" applyNumberFormat="1" applyAlignment="1">
      <alignment/>
    </xf>
    <xf numFmtId="165" fontId="11" fillId="0" borderId="0" xfId="59" applyFont="1" applyAlignment="1">
      <alignment/>
    </xf>
    <xf numFmtId="40" fontId="18" fillId="0" borderId="0" xfId="52" applyNumberFormat="1" applyFont="1" applyFill="1" applyAlignment="1">
      <alignment horizontal="center"/>
      <protection/>
    </xf>
    <xf numFmtId="4" fontId="18" fillId="0" borderId="0" xfId="52" applyNumberFormat="1" applyFont="1" applyFill="1" applyAlignment="1">
      <alignment horizontal="right"/>
      <protection/>
    </xf>
    <xf numFmtId="0" fontId="10" fillId="0" borderId="0" xfId="52" applyNumberFormat="1" applyFont="1" applyFill="1" applyBorder="1" applyAlignment="1">
      <alignment vertical="center"/>
      <protection/>
    </xf>
    <xf numFmtId="164" fontId="8" fillId="0" borderId="0" xfId="64" applyNumberFormat="1" applyFont="1" applyFill="1" applyBorder="1" applyAlignment="1">
      <alignment vertical="center"/>
    </xf>
    <xf numFmtId="164" fontId="8" fillId="0" borderId="0" xfId="64" applyNumberFormat="1" applyFont="1" applyBorder="1" applyAlignment="1">
      <alignment vertical="center"/>
    </xf>
    <xf numFmtId="0" fontId="10" fillId="0" borderId="0" xfId="52" applyNumberFormat="1" applyFont="1" applyBorder="1" applyAlignment="1">
      <alignment vertical="center" wrapText="1"/>
      <protection/>
    </xf>
    <xf numFmtId="0" fontId="10" fillId="0" borderId="0" xfId="52" applyNumberFormat="1" applyFont="1" applyBorder="1" applyAlignment="1">
      <alignment horizontal="left" vertical="center" wrapText="1"/>
      <protection/>
    </xf>
    <xf numFmtId="164" fontId="10" fillId="0" borderId="0" xfId="64" applyNumberFormat="1" applyFont="1" applyFill="1" applyBorder="1" applyAlignment="1">
      <alignment vertical="center"/>
    </xf>
    <xf numFmtId="164" fontId="0" fillId="0" borderId="0" xfId="52" applyNumberFormat="1" applyFont="1" applyFill="1" applyAlignment="1">
      <alignment vertical="center"/>
      <protection/>
    </xf>
    <xf numFmtId="40" fontId="0" fillId="0" borderId="0" xfId="52" applyNumberFormat="1" applyFont="1" applyFill="1" applyAlignment="1">
      <alignment vertical="center"/>
      <protection/>
    </xf>
    <xf numFmtId="0" fontId="90" fillId="0" borderId="0" xfId="0" applyFont="1" applyAlignment="1">
      <alignment horizontal="center" readingOrder="1"/>
    </xf>
    <xf numFmtId="0" fontId="91" fillId="0" borderId="0" xfId="0" applyFont="1" applyAlignment="1">
      <alignment horizontal="center" readingOrder="1"/>
    </xf>
    <xf numFmtId="0" fontId="19" fillId="0" borderId="0" xfId="0" applyFont="1" applyBorder="1" applyAlignment="1">
      <alignment/>
    </xf>
    <xf numFmtId="0" fontId="18" fillId="0" borderId="0" xfId="50" applyFont="1" applyFill="1" applyAlignment="1">
      <alignment horizontal="left"/>
      <protection/>
    </xf>
    <xf numFmtId="49" fontId="18" fillId="0" borderId="0" xfId="50" applyNumberFormat="1" applyFont="1" applyBorder="1">
      <alignment/>
      <protection/>
    </xf>
    <xf numFmtId="0" fontId="18" fillId="0" borderId="0" xfId="50" applyFont="1" applyFill="1" applyBorder="1" applyAlignment="1">
      <alignment horizontal="left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 applyFill="1" applyAlignment="1">
      <alignment horizontal="center" vertical="center"/>
      <protection/>
    </xf>
    <xf numFmtId="0" fontId="19" fillId="0" borderId="41" xfId="50" applyFont="1" applyFill="1" applyBorder="1" applyAlignment="1">
      <alignment horizontal="left" vertical="center"/>
      <protection/>
    </xf>
    <xf numFmtId="0" fontId="19" fillId="0" borderId="41" xfId="50" applyFont="1" applyFill="1" applyBorder="1" applyAlignment="1">
      <alignment horizontal="center" vertical="center"/>
      <protection/>
    </xf>
    <xf numFmtId="49" fontId="18" fillId="0" borderId="41" xfId="50" applyNumberFormat="1" applyFont="1" applyFill="1" applyBorder="1">
      <alignment/>
      <protection/>
    </xf>
    <xf numFmtId="166" fontId="19" fillId="0" borderId="41" xfId="50" applyNumberFormat="1" applyFont="1" applyFill="1" applyBorder="1" applyAlignment="1">
      <alignment horizontal="right" vertical="center"/>
      <protection/>
    </xf>
    <xf numFmtId="0" fontId="18" fillId="0" borderId="41" xfId="50" applyFont="1" applyBorder="1" applyAlignment="1">
      <alignment horizontal="center" vertical="center"/>
      <protection/>
    </xf>
    <xf numFmtId="0" fontId="18" fillId="0" borderId="41" xfId="50" applyFont="1" applyFill="1" applyBorder="1" applyAlignment="1">
      <alignment horizontal="center" vertical="center"/>
      <protection/>
    </xf>
    <xf numFmtId="0" fontId="19" fillId="0" borderId="0" xfId="50" applyFont="1" applyFill="1" applyAlignment="1">
      <alignment horizontal="left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19" fillId="0" borderId="0" xfId="50" applyFont="1" applyFill="1" applyAlignment="1">
      <alignment horizontal="center" vertical="center"/>
      <protection/>
    </xf>
    <xf numFmtId="0" fontId="19" fillId="0" borderId="31" xfId="50" applyFont="1" applyFill="1" applyBorder="1" applyAlignment="1">
      <alignment horizontal="left" vertical="center"/>
      <protection/>
    </xf>
    <xf numFmtId="0" fontId="19" fillId="0" borderId="31" xfId="50" applyFont="1" applyFill="1" applyBorder="1" applyAlignment="1">
      <alignment horizontal="center" vertical="center"/>
      <protection/>
    </xf>
    <xf numFmtId="0" fontId="18" fillId="0" borderId="53" xfId="50" applyFont="1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18" fillId="0" borderId="55" xfId="50" applyFont="1" applyBorder="1" applyAlignment="1">
      <alignment horizontal="center" vertical="center"/>
      <protection/>
    </xf>
    <xf numFmtId="0" fontId="19" fillId="0" borderId="0" xfId="50" applyFont="1" applyFill="1" applyBorder="1" applyAlignment="1">
      <alignment horizontal="left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3" fontId="18" fillId="0" borderId="0" xfId="50" applyNumberFormat="1" applyFont="1" applyFill="1" applyBorder="1" applyAlignment="1">
      <alignment horizontal="center" vertical="center"/>
      <protection/>
    </xf>
    <xf numFmtId="165" fontId="18" fillId="0" borderId="0" xfId="50" applyNumberFormat="1" applyFont="1" applyFill="1" applyBorder="1" applyAlignment="1">
      <alignment horizontal="center" vertical="center"/>
      <protection/>
    </xf>
    <xf numFmtId="0" fontId="18" fillId="0" borderId="29" xfId="50" applyFont="1" applyBorder="1" applyAlignment="1">
      <alignment horizontal="center" vertical="center"/>
      <protection/>
    </xf>
    <xf numFmtId="0" fontId="23" fillId="0" borderId="29" xfId="50" applyFont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/>
      <protection/>
    </xf>
    <xf numFmtId="3" fontId="19" fillId="0" borderId="41" xfId="50" applyNumberFormat="1" applyFont="1" applyFill="1" applyBorder="1" applyAlignment="1">
      <alignment horizontal="left" vertical="center" indent="1"/>
      <protection/>
    </xf>
    <xf numFmtId="165" fontId="19" fillId="0" borderId="40" xfId="61" applyFont="1" applyFill="1" applyBorder="1" applyAlignment="1" applyProtection="1">
      <alignment horizontal="right" vertical="center" wrapText="1"/>
      <protection/>
    </xf>
    <xf numFmtId="165" fontId="19" fillId="0" borderId="27" xfId="61" applyFont="1" applyFill="1" applyBorder="1" applyAlignment="1" applyProtection="1">
      <alignment horizontal="right" vertical="center"/>
      <protection/>
    </xf>
    <xf numFmtId="0" fontId="18" fillId="0" borderId="30" xfId="50" applyFont="1" applyBorder="1" applyAlignment="1">
      <alignment horizontal="center" vertical="center"/>
      <protection/>
    </xf>
    <xf numFmtId="0" fontId="18" fillId="0" borderId="56" xfId="50" applyFont="1" applyBorder="1" applyAlignment="1">
      <alignment horizontal="center" vertical="center"/>
      <protection/>
    </xf>
    <xf numFmtId="0" fontId="18" fillId="0" borderId="57" xfId="50" applyFont="1" applyBorder="1" applyAlignment="1">
      <alignment horizontal="center" vertical="center"/>
      <protection/>
    </xf>
    <xf numFmtId="3" fontId="19" fillId="0" borderId="31" xfId="50" applyNumberFormat="1" applyFont="1" applyFill="1" applyBorder="1" applyAlignment="1">
      <alignment horizontal="left" vertical="center" indent="1"/>
      <protection/>
    </xf>
    <xf numFmtId="165" fontId="19" fillId="0" borderId="38" xfId="61" applyFont="1" applyFill="1" applyBorder="1" applyAlignment="1" applyProtection="1">
      <alignment horizontal="right" vertical="center" wrapText="1"/>
      <protection/>
    </xf>
    <xf numFmtId="165" fontId="19" fillId="0" borderId="58" xfId="61" applyFont="1" applyFill="1" applyBorder="1" applyAlignment="1" applyProtection="1">
      <alignment horizontal="right" vertical="center"/>
      <protection/>
    </xf>
    <xf numFmtId="0" fontId="18" fillId="0" borderId="31" xfId="50" applyFont="1" applyFill="1" applyBorder="1" applyAlignment="1">
      <alignment horizontal="center" vertical="center"/>
      <protection/>
    </xf>
    <xf numFmtId="0" fontId="18" fillId="0" borderId="42" xfId="50" applyFont="1" applyBorder="1" applyAlignment="1">
      <alignment horizontal="center" vertical="center"/>
      <protection/>
    </xf>
    <xf numFmtId="3" fontId="26" fillId="0" borderId="59" xfId="50" applyNumberFormat="1" applyFont="1" applyFill="1" applyBorder="1" applyAlignment="1">
      <alignment horizontal="left" vertical="center"/>
      <protection/>
    </xf>
    <xf numFmtId="43" fontId="18" fillId="0" borderId="31" xfId="50" applyNumberFormat="1" applyFont="1" applyBorder="1" applyAlignment="1">
      <alignment horizontal="center" vertical="center"/>
      <protection/>
    </xf>
    <xf numFmtId="4" fontId="26" fillId="0" borderId="31" xfId="50" applyNumberFormat="1" applyFont="1" applyFill="1" applyBorder="1" applyAlignment="1">
      <alignment horizontal="left" vertical="center" wrapText="1"/>
      <protection/>
    </xf>
    <xf numFmtId="165" fontId="26" fillId="0" borderId="38" xfId="61" applyFont="1" applyFill="1" applyBorder="1" applyAlignment="1" applyProtection="1">
      <alignment horizontal="right" vertical="center" wrapText="1"/>
      <protection/>
    </xf>
    <xf numFmtId="165" fontId="26" fillId="0" borderId="60" xfId="61" applyFont="1" applyFill="1" applyBorder="1" applyAlignment="1" applyProtection="1">
      <alignment horizontal="right" vertical="center" wrapText="1"/>
      <protection/>
    </xf>
    <xf numFmtId="165" fontId="26" fillId="0" borderId="58" xfId="61" applyFont="1" applyFill="1" applyBorder="1" applyAlignment="1" applyProtection="1">
      <alignment horizontal="right" vertical="center" wrapText="1"/>
      <protection/>
    </xf>
    <xf numFmtId="0" fontId="26" fillId="0" borderId="31" xfId="50" applyFont="1" applyFill="1" applyBorder="1" applyAlignment="1">
      <alignment horizontal="left" vertical="center"/>
      <protection/>
    </xf>
    <xf numFmtId="165" fontId="26" fillId="0" borderId="38" xfId="61" applyFont="1" applyFill="1" applyBorder="1" applyAlignment="1" applyProtection="1">
      <alignment horizontal="right" vertical="center"/>
      <protection/>
    </xf>
    <xf numFmtId="165" fontId="26" fillId="0" borderId="60" xfId="61" applyFont="1" applyFill="1" applyBorder="1" applyAlignment="1" applyProtection="1">
      <alignment horizontal="right" vertical="center"/>
      <protection/>
    </xf>
    <xf numFmtId="165" fontId="26" fillId="0" borderId="58" xfId="61" applyFont="1" applyFill="1" applyBorder="1" applyAlignment="1" applyProtection="1">
      <alignment horizontal="right" vertical="center"/>
      <protection/>
    </xf>
    <xf numFmtId="167" fontId="13" fillId="0" borderId="0" xfId="0" applyNumberFormat="1" applyFont="1" applyBorder="1" applyAlignment="1">
      <alignment vertical="center"/>
    </xf>
    <xf numFmtId="4" fontId="12" fillId="0" borderId="18" xfId="0" applyNumberFormat="1" applyFont="1" applyFill="1" applyBorder="1" applyAlignment="1">
      <alignment horizontal="center"/>
    </xf>
    <xf numFmtId="0" fontId="23" fillId="0" borderId="52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vertical="center"/>
      <protection/>
    </xf>
    <xf numFmtId="0" fontId="23" fillId="0" borderId="34" xfId="52" applyFont="1" applyFill="1" applyBorder="1" applyAlignment="1">
      <alignment horizontal="left" vertical="center"/>
      <protection/>
    </xf>
    <xf numFmtId="0" fontId="18" fillId="0" borderId="0" xfId="52" applyFont="1" applyFill="1" applyBorder="1" applyAlignment="1">
      <alignment horizontal="left" vertical="center"/>
      <protection/>
    </xf>
    <xf numFmtId="0" fontId="23" fillId="0" borderId="0" xfId="52" applyFont="1" applyFill="1" applyBorder="1" applyAlignment="1">
      <alignment vertical="center" wrapText="1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horizontal="right" vertical="center"/>
      <protection/>
    </xf>
    <xf numFmtId="10" fontId="23" fillId="0" borderId="0" xfId="55" applyNumberFormat="1" applyFont="1" applyFill="1" applyBorder="1" applyAlignment="1">
      <alignment vertical="center"/>
    </xf>
    <xf numFmtId="4" fontId="18" fillId="0" borderId="0" xfId="52" applyNumberFormat="1" applyFont="1" applyFill="1" applyBorder="1" applyAlignment="1">
      <alignment vertical="center"/>
      <protection/>
    </xf>
    <xf numFmtId="4" fontId="18" fillId="0" borderId="0" xfId="52" applyNumberFormat="1" applyFont="1" applyFill="1" applyBorder="1" applyAlignment="1">
      <alignment horizontal="right" vertical="center"/>
      <protection/>
    </xf>
    <xf numFmtId="10" fontId="18" fillId="0" borderId="0" xfId="55" applyNumberFormat="1" applyFont="1" applyFill="1" applyBorder="1" applyAlignment="1">
      <alignment vertical="center"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0" borderId="51" xfId="52" applyFont="1" applyFill="1" applyBorder="1" applyAlignment="1">
      <alignment horizontal="left" vertical="center" wrapText="1"/>
      <protection/>
    </xf>
    <xf numFmtId="164" fontId="18" fillId="0" borderId="0" xfId="64" applyNumberFormat="1" applyFont="1" applyFill="1" applyBorder="1" applyAlignment="1">
      <alignment vertical="center"/>
    </xf>
    <xf numFmtId="0" fontId="23" fillId="0" borderId="0" xfId="55" applyNumberFormat="1" applyFont="1" applyFill="1" applyBorder="1" applyAlignment="1">
      <alignment vertical="center"/>
    </xf>
    <xf numFmtId="49" fontId="18" fillId="0" borderId="0" xfId="52" applyNumberFormat="1" applyFont="1" applyFill="1" applyBorder="1" applyAlignment="1">
      <alignment/>
      <protection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right" vertical="center"/>
    </xf>
    <xf numFmtId="4" fontId="13" fillId="0" borderId="28" xfId="0" applyNumberFormat="1" applyFont="1" applyBorder="1" applyAlignment="1">
      <alignment horizontal="right" vertical="center"/>
    </xf>
    <xf numFmtId="4" fontId="13" fillId="0" borderId="34" xfId="0" applyNumberFormat="1" applyFont="1" applyBorder="1" applyAlignment="1">
      <alignment horizontal="right" vertical="center"/>
    </xf>
    <xf numFmtId="0" fontId="19" fillId="0" borderId="61" xfId="0" applyFont="1" applyFill="1" applyBorder="1" applyAlignment="1">
      <alignment vertical="center"/>
    </xf>
    <xf numFmtId="9" fontId="19" fillId="0" borderId="23" xfId="0" applyNumberFormat="1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3" fillId="0" borderId="62" xfId="0" applyFont="1" applyFill="1" applyBorder="1" applyAlignment="1">
      <alignment horizontal="left" vertical="center"/>
    </xf>
    <xf numFmtId="164" fontId="18" fillId="0" borderId="42" xfId="52" applyNumberFormat="1" applyFont="1" applyFill="1" applyBorder="1" applyAlignment="1">
      <alignment vertical="center"/>
      <protection/>
    </xf>
    <xf numFmtId="40" fontId="13" fillId="0" borderId="40" xfId="0" applyNumberFormat="1" applyFont="1" applyFill="1" applyBorder="1" applyAlignment="1">
      <alignment vertical="center"/>
    </xf>
    <xf numFmtId="40" fontId="12" fillId="35" borderId="63" xfId="0" applyNumberFormat="1" applyFont="1" applyFill="1" applyBorder="1" applyAlignment="1">
      <alignment vertical="center"/>
    </xf>
    <xf numFmtId="40" fontId="12" fillId="0" borderId="33" xfId="57" applyNumberFormat="1" applyFont="1" applyFill="1" applyBorder="1" applyAlignment="1" applyProtection="1">
      <alignment vertical="center"/>
      <protection/>
    </xf>
    <xf numFmtId="40" fontId="13" fillId="0" borderId="34" xfId="0" applyNumberFormat="1" applyFont="1" applyFill="1" applyBorder="1" applyAlignment="1">
      <alignment vertical="center"/>
    </xf>
    <xf numFmtId="0" fontId="18" fillId="0" borderId="52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165" fontId="23" fillId="0" borderId="64" xfId="59" applyFont="1" applyFill="1" applyBorder="1" applyAlignment="1" applyProtection="1">
      <alignment horizontal="right" vertical="center"/>
      <protection/>
    </xf>
    <xf numFmtId="165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5" fontId="23" fillId="35" borderId="0" xfId="59" applyFont="1" applyFill="1" applyBorder="1" applyAlignment="1" applyProtection="1">
      <alignment horizontal="right" vertical="center"/>
      <protection/>
    </xf>
    <xf numFmtId="0" fontId="23" fillId="0" borderId="47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vertical="center"/>
    </xf>
    <xf numFmtId="0" fontId="18" fillId="0" borderId="46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6" xfId="0" applyFont="1" applyFill="1" applyBorder="1" applyAlignment="1">
      <alignment vertical="center"/>
    </xf>
    <xf numFmtId="0" fontId="18" fillId="0" borderId="47" xfId="0" applyFont="1" applyFill="1" applyBorder="1" applyAlignment="1">
      <alignment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67" xfId="0" applyFont="1" applyBorder="1" applyAlignment="1">
      <alignment vertical="center"/>
    </xf>
    <xf numFmtId="165" fontId="12" fillId="0" borderId="26" xfId="57" applyFont="1" applyFill="1" applyBorder="1" applyAlignment="1" applyProtection="1">
      <alignment horizontal="center" vertical="center"/>
      <protection/>
    </xf>
    <xf numFmtId="165" fontId="13" fillId="0" borderId="26" xfId="57" applyFont="1" applyFill="1" applyBorder="1" applyAlignment="1" applyProtection="1">
      <alignment horizontal="center" vertical="center"/>
      <protection/>
    </xf>
    <xf numFmtId="165" fontId="12" fillId="0" borderId="64" xfId="57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>
      <alignment vertical="center"/>
    </xf>
    <xf numFmtId="165" fontId="26" fillId="0" borderId="26" xfId="0" applyNumberFormat="1" applyFont="1" applyFill="1" applyBorder="1" applyAlignment="1">
      <alignment vertical="center"/>
    </xf>
    <xf numFmtId="165" fontId="19" fillId="0" borderId="26" xfId="57" applyFont="1" applyFill="1" applyBorder="1" applyAlignment="1" applyProtection="1">
      <alignment vertical="center"/>
      <protection/>
    </xf>
    <xf numFmtId="165" fontId="26" fillId="0" borderId="26" xfId="57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>
      <alignment vertical="center"/>
    </xf>
    <xf numFmtId="43" fontId="19" fillId="0" borderId="42" xfId="0" applyNumberFormat="1" applyFont="1" applyFill="1" applyBorder="1" applyAlignment="1">
      <alignment vertical="center"/>
    </xf>
    <xf numFmtId="165" fontId="3" fillId="0" borderId="0" xfId="57" applyFont="1" applyFill="1" applyBorder="1" applyAlignment="1" applyProtection="1">
      <alignment horizontal="right" vertical="center"/>
      <protection/>
    </xf>
    <xf numFmtId="164" fontId="23" fillId="0" borderId="42" xfId="52" applyNumberFormat="1" applyFont="1" applyFill="1" applyBorder="1" applyAlignment="1">
      <alignment vertical="center"/>
      <protection/>
    </xf>
    <xf numFmtId="40" fontId="12" fillId="0" borderId="26" xfId="0" applyNumberFormat="1" applyFont="1" applyFill="1" applyBorder="1" applyAlignment="1">
      <alignment vertical="center"/>
    </xf>
    <xf numFmtId="40" fontId="13" fillId="0" borderId="49" xfId="0" applyNumberFormat="1" applyFont="1" applyFill="1" applyBorder="1" applyAlignment="1">
      <alignment vertical="center"/>
    </xf>
    <xf numFmtId="40" fontId="89" fillId="0" borderId="26" xfId="0" applyNumberFormat="1" applyFont="1" applyFill="1" applyBorder="1" applyAlignment="1">
      <alignment vertical="center"/>
    </xf>
    <xf numFmtId="40" fontId="12" fillId="0" borderId="48" xfId="0" applyNumberFormat="1" applyFont="1" applyFill="1" applyBorder="1" applyAlignment="1">
      <alignment vertical="center"/>
    </xf>
    <xf numFmtId="40" fontId="12" fillId="0" borderId="48" xfId="57" applyNumberFormat="1" applyFont="1" applyFill="1" applyBorder="1" applyAlignment="1" applyProtection="1">
      <alignment horizontal="right" vertical="center"/>
      <protection/>
    </xf>
    <xf numFmtId="40" fontId="13" fillId="0" borderId="45" xfId="0" applyNumberFormat="1" applyFont="1" applyFill="1" applyBorder="1" applyAlignment="1">
      <alignment vertical="center"/>
    </xf>
    <xf numFmtId="40" fontId="12" fillId="0" borderId="26" xfId="57" applyNumberFormat="1" applyFont="1" applyFill="1" applyBorder="1" applyAlignment="1" applyProtection="1">
      <alignment horizontal="right" vertical="center"/>
      <protection/>
    </xf>
    <xf numFmtId="40" fontId="12" fillId="0" borderId="44" xfId="57" applyNumberFormat="1" applyFont="1" applyFill="1" applyBorder="1" applyAlignment="1" applyProtection="1">
      <alignment horizontal="right" vertical="center"/>
      <protection/>
    </xf>
    <xf numFmtId="40" fontId="12" fillId="0" borderId="26" xfId="57" applyNumberFormat="1" applyFont="1" applyFill="1" applyBorder="1" applyAlignment="1" applyProtection="1">
      <alignment vertical="center"/>
      <protection/>
    </xf>
    <xf numFmtId="40" fontId="13" fillId="0" borderId="44" xfId="0" applyNumberFormat="1" applyFont="1" applyFill="1" applyBorder="1" applyAlignment="1">
      <alignment vertical="center"/>
    </xf>
    <xf numFmtId="40" fontId="12" fillId="0" borderId="64" xfId="0" applyNumberFormat="1" applyFont="1" applyFill="1" applyBorder="1" applyAlignment="1">
      <alignment vertical="center"/>
    </xf>
    <xf numFmtId="2" fontId="13" fillId="0" borderId="0" xfId="51" applyNumberFormat="1" applyFont="1" applyFill="1" applyBorder="1" applyAlignment="1">
      <alignment/>
      <protection/>
    </xf>
    <xf numFmtId="165" fontId="0" fillId="0" borderId="15" xfId="59" applyFont="1" applyFill="1" applyBorder="1" applyAlignment="1">
      <alignment horizontal="right" vertical="center"/>
    </xf>
    <xf numFmtId="4" fontId="26" fillId="0" borderId="42" xfId="51" applyNumberFormat="1" applyFont="1" applyFill="1" applyBorder="1" applyAlignment="1">
      <alignment horizontal="right" vertical="center"/>
      <protection/>
    </xf>
    <xf numFmtId="4" fontId="19" fillId="0" borderId="0" xfId="51" applyNumberFormat="1" applyFont="1" applyFill="1" applyAlignment="1">
      <alignment horizontal="right" vertical="center"/>
      <protection/>
    </xf>
    <xf numFmtId="4" fontId="26" fillId="0" borderId="0" xfId="51" applyNumberFormat="1" applyFont="1">
      <alignment/>
      <protection/>
    </xf>
    <xf numFmtId="2" fontId="13" fillId="0" borderId="0" xfId="51" applyNumberFormat="1" applyFont="1" applyFill="1" applyBorder="1" applyAlignment="1">
      <alignment vertical="top"/>
      <protection/>
    </xf>
    <xf numFmtId="43" fontId="26" fillId="0" borderId="0" xfId="51" applyNumberFormat="1" applyFont="1" applyAlignment="1">
      <alignment horizontal="right"/>
      <protection/>
    </xf>
    <xf numFmtId="0" fontId="19" fillId="0" borderId="0" xfId="51" applyFont="1" applyFill="1" applyAlignment="1">
      <alignment horizontal="right"/>
      <protection/>
    </xf>
    <xf numFmtId="43" fontId="92" fillId="0" borderId="0" xfId="51" applyNumberFormat="1" applyFont="1" applyFill="1">
      <alignment/>
      <protection/>
    </xf>
    <xf numFmtId="165" fontId="10" fillId="0" borderId="0" xfId="59" applyFont="1" applyFill="1" applyAlignment="1">
      <alignment/>
    </xf>
    <xf numFmtId="165" fontId="18" fillId="0" borderId="39" xfId="48" applyNumberFormat="1" applyFont="1" applyFill="1" applyBorder="1" applyAlignment="1">
      <alignment horizontal="center" vertical="center"/>
      <protection/>
    </xf>
    <xf numFmtId="165" fontId="18" fillId="0" borderId="51" xfId="59" applyFont="1" applyFill="1" applyBorder="1" applyAlignment="1" applyProtection="1">
      <alignment horizontal="center" vertical="center"/>
      <protection/>
    </xf>
    <xf numFmtId="165" fontId="18" fillId="0" borderId="46" xfId="59" applyFont="1" applyFill="1" applyBorder="1" applyAlignment="1" applyProtection="1">
      <alignment horizontal="center" vertical="center"/>
      <protection/>
    </xf>
    <xf numFmtId="165" fontId="23" fillId="0" borderId="51" xfId="59" applyFont="1" applyFill="1" applyBorder="1" applyAlignment="1" applyProtection="1">
      <alignment horizontal="center" vertical="center"/>
      <protection/>
    </xf>
    <xf numFmtId="165" fontId="23" fillId="0" borderId="46" xfId="59" applyFont="1" applyFill="1" applyBorder="1" applyAlignment="1" applyProtection="1">
      <alignment horizontal="center" vertical="center"/>
      <protection/>
    </xf>
    <xf numFmtId="165" fontId="18" fillId="35" borderId="39" xfId="59" applyFont="1" applyFill="1" applyBorder="1" applyAlignment="1" applyProtection="1">
      <alignment horizontal="center" vertical="center"/>
      <protection/>
    </xf>
    <xf numFmtId="165" fontId="18" fillId="35" borderId="52" xfId="59" applyFont="1" applyFill="1" applyBorder="1" applyAlignment="1" applyProtection="1">
      <alignment horizontal="center" vertical="center"/>
      <protection/>
    </xf>
    <xf numFmtId="49" fontId="13" fillId="0" borderId="0" xfId="51" applyNumberFormat="1" applyFont="1" applyAlignment="1">
      <alignment/>
      <protection/>
    </xf>
    <xf numFmtId="165" fontId="3" fillId="0" borderId="12" xfId="57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0" fontId="12" fillId="35" borderId="51" xfId="0" applyNumberFormat="1" applyFont="1" applyFill="1" applyBorder="1" applyAlignment="1">
      <alignment vertical="center"/>
    </xf>
    <xf numFmtId="40" fontId="13" fillId="0" borderId="41" xfId="0" applyNumberFormat="1" applyFont="1" applyFill="1" applyBorder="1" applyAlignment="1">
      <alignment horizontal="left" vertical="center"/>
    </xf>
    <xf numFmtId="40" fontId="13" fillId="0" borderId="68" xfId="0" applyNumberFormat="1" applyFont="1" applyFill="1" applyBorder="1" applyAlignment="1">
      <alignment horizontal="left" vertical="center"/>
    </xf>
    <xf numFmtId="40" fontId="13" fillId="0" borderId="37" xfId="0" applyNumberFormat="1" applyFont="1" applyFill="1" applyBorder="1" applyAlignment="1">
      <alignment vertical="center"/>
    </xf>
    <xf numFmtId="40" fontId="13" fillId="0" borderId="68" xfId="0" applyNumberFormat="1" applyFont="1" applyFill="1" applyBorder="1" applyAlignment="1">
      <alignment vertical="center"/>
    </xf>
    <xf numFmtId="165" fontId="12" fillId="0" borderId="0" xfId="57" applyFont="1" applyFill="1" applyBorder="1" applyAlignment="1" applyProtection="1">
      <alignment horizontal="center" vertical="center"/>
      <protection/>
    </xf>
    <xf numFmtId="40" fontId="12" fillId="35" borderId="25" xfId="0" applyNumberFormat="1" applyFont="1" applyFill="1" applyBorder="1" applyAlignment="1">
      <alignment vertical="center"/>
    </xf>
    <xf numFmtId="40" fontId="12" fillId="0" borderId="29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 horizontal="left" vertical="center"/>
    </xf>
    <xf numFmtId="2" fontId="0" fillId="0" borderId="0" xfId="57" applyNumberFormat="1" applyFont="1" applyFill="1" applyBorder="1" applyAlignment="1" applyProtection="1">
      <alignment horizontal="center" vertical="center"/>
      <protection/>
    </xf>
    <xf numFmtId="167" fontId="19" fillId="0" borderId="0" xfId="51" applyNumberFormat="1" applyFont="1" applyFill="1" applyAlignment="1">
      <alignment horizontal="center" vertical="center"/>
      <protection/>
    </xf>
    <xf numFmtId="165" fontId="19" fillId="0" borderId="0" xfId="62" applyFont="1" applyFill="1" applyBorder="1" applyAlignment="1" applyProtection="1">
      <alignment horizontal="right" vertical="center"/>
      <protection/>
    </xf>
    <xf numFmtId="165" fontId="19" fillId="0" borderId="0" xfId="62" applyFont="1" applyFill="1" applyBorder="1" applyAlignment="1" applyProtection="1">
      <alignment horizontal="center" vertical="center"/>
      <protection/>
    </xf>
    <xf numFmtId="4" fontId="26" fillId="0" borderId="0" xfId="51" applyNumberFormat="1" applyFont="1" applyFill="1" applyBorder="1" applyAlignment="1">
      <alignment horizontal="left" vertical="center"/>
      <protection/>
    </xf>
    <xf numFmtId="4" fontId="26" fillId="0" borderId="0" xfId="51" applyNumberFormat="1" applyFont="1" applyFill="1" applyAlignment="1">
      <alignment horizontal="left" vertical="center"/>
      <protection/>
    </xf>
    <xf numFmtId="165" fontId="13" fillId="0" borderId="69" xfId="57" applyFont="1" applyFill="1" applyBorder="1" applyAlignment="1" applyProtection="1">
      <alignment horizontal="center" vertical="center"/>
      <protection/>
    </xf>
    <xf numFmtId="4" fontId="23" fillId="0" borderId="42" xfId="52" applyNumberFormat="1" applyFont="1" applyFill="1" applyBorder="1" applyAlignment="1">
      <alignment vertical="center"/>
      <protection/>
    </xf>
    <xf numFmtId="0" fontId="23" fillId="35" borderId="63" xfId="52" applyFont="1" applyFill="1" applyBorder="1" applyAlignment="1">
      <alignment horizontal="center" vertical="center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52" xfId="52" applyFont="1" applyFill="1" applyBorder="1" applyAlignment="1">
      <alignment vertical="center"/>
      <protection/>
    </xf>
    <xf numFmtId="0" fontId="18" fillId="35" borderId="54" xfId="52" applyFont="1" applyFill="1" applyBorder="1" applyAlignment="1">
      <alignment vertical="center"/>
      <protection/>
    </xf>
    <xf numFmtId="0" fontId="22" fillId="35" borderId="42" xfId="52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37" fontId="19" fillId="35" borderId="15" xfId="0" applyNumberFormat="1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4" fontId="19" fillId="35" borderId="70" xfId="0" applyNumberFormat="1" applyFont="1" applyFill="1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center" vertical="center"/>
    </xf>
    <xf numFmtId="165" fontId="18" fillId="0" borderId="12" xfId="48" applyNumberFormat="1" applyFont="1" applyFill="1" applyBorder="1" applyAlignment="1">
      <alignment horizontal="center" vertical="center"/>
      <protection/>
    </xf>
    <xf numFmtId="2" fontId="18" fillId="35" borderId="12" xfId="59" applyNumberFormat="1" applyFont="1" applyFill="1" applyBorder="1" applyAlignment="1" applyProtection="1">
      <alignment horizontal="center" vertical="center"/>
      <protection/>
    </xf>
    <xf numFmtId="43" fontId="18" fillId="0" borderId="0" xfId="0" applyNumberFormat="1" applyFont="1" applyFill="1" applyBorder="1" applyAlignment="1">
      <alignment/>
    </xf>
    <xf numFmtId="40" fontId="12" fillId="35" borderId="63" xfId="57" applyNumberFormat="1" applyFont="1" applyFill="1" applyBorder="1" applyAlignment="1" applyProtection="1">
      <alignment horizontal="right" vertical="center"/>
      <protection/>
    </xf>
    <xf numFmtId="40" fontId="12" fillId="0" borderId="0" xfId="57" applyNumberFormat="1" applyFont="1" applyFill="1" applyBorder="1" applyAlignment="1" applyProtection="1">
      <alignment vertical="center"/>
      <protection/>
    </xf>
    <xf numFmtId="40" fontId="12" fillId="0" borderId="23" xfId="0" applyNumberFormat="1" applyFont="1" applyFill="1" applyBorder="1" applyAlignment="1">
      <alignment vertical="center"/>
    </xf>
    <xf numFmtId="40" fontId="12" fillId="0" borderId="25" xfId="57" applyNumberFormat="1" applyFont="1" applyFill="1" applyBorder="1" applyAlignment="1" applyProtection="1">
      <alignment vertical="center"/>
      <protection/>
    </xf>
    <xf numFmtId="40" fontId="13" fillId="35" borderId="55" xfId="0" applyNumberFormat="1" applyFont="1" applyFill="1" applyBorder="1" applyAlignment="1">
      <alignment vertical="center"/>
    </xf>
    <xf numFmtId="40" fontId="12" fillId="0" borderId="49" xfId="0" applyNumberFormat="1" applyFont="1" applyFill="1" applyBorder="1" applyAlignment="1">
      <alignment vertical="center"/>
    </xf>
    <xf numFmtId="165" fontId="23" fillId="0" borderId="16" xfId="59" applyFont="1" applyFill="1" applyBorder="1" applyAlignment="1" applyProtection="1">
      <alignment horizontal="right" vertical="center"/>
      <protection/>
    </xf>
    <xf numFmtId="164" fontId="18" fillId="0" borderId="0" xfId="48" applyNumberFormat="1" applyFont="1" applyFill="1">
      <alignment/>
      <protection/>
    </xf>
    <xf numFmtId="165" fontId="23" fillId="35" borderId="48" xfId="59" applyFont="1" applyFill="1" applyBorder="1" applyAlignment="1" applyProtection="1">
      <alignment horizontal="center" vertical="center"/>
      <protection/>
    </xf>
    <xf numFmtId="165" fontId="0" fillId="0" borderId="0" xfId="57" applyFont="1" applyFill="1" applyAlignment="1">
      <alignment horizontal="left" vertical="center"/>
    </xf>
    <xf numFmtId="165" fontId="0" fillId="0" borderId="0" xfId="57" applyFont="1" applyFill="1" applyAlignment="1">
      <alignment vertical="center"/>
    </xf>
    <xf numFmtId="165" fontId="11" fillId="0" borderId="0" xfId="57" applyFont="1" applyFill="1" applyAlignment="1">
      <alignment horizontal="center"/>
    </xf>
    <xf numFmtId="165" fontId="0" fillId="0" borderId="0" xfId="57" applyFont="1" applyFill="1" applyAlignment="1">
      <alignment horizontal="center"/>
    </xf>
    <xf numFmtId="165" fontId="7" fillId="0" borderId="0" xfId="57" applyFont="1" applyFill="1" applyBorder="1" applyAlignment="1" applyProtection="1">
      <alignment/>
      <protection/>
    </xf>
    <xf numFmtId="2" fontId="13" fillId="0" borderId="0" xfId="52" applyNumberFormat="1" applyFont="1" applyFill="1" applyAlignment="1">
      <alignment vertical="center"/>
      <protection/>
    </xf>
    <xf numFmtId="165" fontId="19" fillId="0" borderId="26" xfId="60" applyFont="1" applyFill="1" applyBorder="1" applyAlignment="1" applyProtection="1">
      <alignment horizontal="right" vertical="center"/>
      <protection/>
    </xf>
    <xf numFmtId="40" fontId="12" fillId="0" borderId="28" xfId="0" applyNumberFormat="1" applyFont="1" applyFill="1" applyBorder="1" applyAlignment="1">
      <alignment vertical="center"/>
    </xf>
    <xf numFmtId="165" fontId="23" fillId="0" borderId="42" xfId="59" applyFont="1" applyFill="1" applyBorder="1" applyAlignment="1" applyProtection="1">
      <alignment horizontal="right" vertical="center"/>
      <protection/>
    </xf>
    <xf numFmtId="165" fontId="18" fillId="0" borderId="40" xfId="63" applyNumberFormat="1" applyFont="1" applyFill="1" applyBorder="1" applyAlignment="1" applyProtection="1">
      <alignment horizontal="right" vertical="center"/>
      <protection/>
    </xf>
    <xf numFmtId="165" fontId="13" fillId="0" borderId="0" xfId="57" applyFont="1" applyFill="1" applyAlignment="1">
      <alignment/>
    </xf>
    <xf numFmtId="49" fontId="26" fillId="0" borderId="71" xfId="51" applyNumberFormat="1" applyFont="1" applyFill="1" applyBorder="1" applyAlignment="1">
      <alignment horizontal="center" vertical="center"/>
      <protection/>
    </xf>
    <xf numFmtId="4" fontId="26" fillId="0" borderId="52" xfId="51" applyNumberFormat="1" applyFont="1" applyFill="1" applyBorder="1" applyAlignment="1">
      <alignment horizontal="right" vertical="center"/>
      <protection/>
    </xf>
    <xf numFmtId="4" fontId="26" fillId="0" borderId="24" xfId="51" applyNumberFormat="1" applyFont="1" applyFill="1" applyBorder="1" applyAlignment="1">
      <alignment horizontal="right" vertical="center"/>
      <protection/>
    </xf>
    <xf numFmtId="4" fontId="26" fillId="0" borderId="13" xfId="51" applyNumberFormat="1" applyFont="1" applyFill="1" applyBorder="1" applyAlignment="1">
      <alignment horizontal="right" vertical="center"/>
      <protection/>
    </xf>
    <xf numFmtId="165" fontId="19" fillId="0" borderId="72" xfId="62" applyFont="1" applyFill="1" applyBorder="1" applyAlignment="1" applyProtection="1">
      <alignment horizontal="right" vertical="center"/>
      <protection/>
    </xf>
    <xf numFmtId="4" fontId="19" fillId="0" borderId="73" xfId="51" applyNumberFormat="1" applyFont="1" applyFill="1" applyBorder="1" applyAlignment="1">
      <alignment horizontal="right" vertical="center"/>
      <protection/>
    </xf>
    <xf numFmtId="165" fontId="19" fillId="0" borderId="40" xfId="62" applyFont="1" applyFill="1" applyBorder="1" applyAlignment="1" applyProtection="1">
      <alignment horizontal="center" vertical="center" wrapText="1"/>
      <protection/>
    </xf>
    <xf numFmtId="165" fontId="19" fillId="0" borderId="56" xfId="62" applyFont="1" applyFill="1" applyBorder="1" applyAlignment="1" applyProtection="1">
      <alignment horizontal="left" vertical="center"/>
      <protection/>
    </xf>
    <xf numFmtId="165" fontId="26" fillId="0" borderId="71" xfId="62" applyFont="1" applyFill="1" applyBorder="1" applyAlignment="1" applyProtection="1">
      <alignment horizontal="left" vertical="center"/>
      <protection/>
    </xf>
    <xf numFmtId="4" fontId="26" fillId="0" borderId="14" xfId="51" applyNumberFormat="1" applyFont="1" applyFill="1" applyBorder="1" applyAlignment="1">
      <alignment horizontal="right" vertical="center"/>
      <protection/>
    </xf>
    <xf numFmtId="165" fontId="19" fillId="0" borderId="57" xfId="62" applyFont="1" applyFill="1" applyBorder="1" applyAlignment="1" applyProtection="1">
      <alignment horizontal="left" vertical="center"/>
      <protection/>
    </xf>
    <xf numFmtId="4" fontId="26" fillId="0" borderId="74" xfId="51" applyNumberFormat="1" applyFont="1" applyFill="1" applyBorder="1" applyAlignment="1">
      <alignment horizontal="right" vertical="center"/>
      <protection/>
    </xf>
    <xf numFmtId="4" fontId="26" fillId="0" borderId="75" xfId="51" applyNumberFormat="1" applyFont="1" applyFill="1" applyBorder="1" applyAlignment="1">
      <alignment horizontal="right" vertical="center"/>
      <protection/>
    </xf>
    <xf numFmtId="165" fontId="19" fillId="0" borderId="42" xfId="62" applyFont="1" applyFill="1" applyBorder="1" applyAlignment="1" applyProtection="1">
      <alignment horizontal="left" vertical="center"/>
      <protection/>
    </xf>
    <xf numFmtId="165" fontId="19" fillId="0" borderId="42" xfId="62" applyFont="1" applyFill="1" applyBorder="1" applyAlignment="1" applyProtection="1">
      <alignment horizontal="right" vertical="center"/>
      <protection/>
    </xf>
    <xf numFmtId="4" fontId="19" fillId="0" borderId="42" xfId="51" applyNumberFormat="1" applyFont="1" applyFill="1" applyBorder="1" applyAlignment="1">
      <alignment horizontal="right" vertical="center"/>
      <protection/>
    </xf>
    <xf numFmtId="165" fontId="19" fillId="0" borderId="42" xfId="62" applyFont="1" applyFill="1" applyBorder="1" applyAlignment="1" applyProtection="1">
      <alignment horizontal="center" vertical="center" wrapText="1"/>
      <protection/>
    </xf>
    <xf numFmtId="0" fontId="19" fillId="0" borderId="42" xfId="51" applyNumberFormat="1" applyFont="1" applyFill="1" applyBorder="1">
      <alignment/>
      <protection/>
    </xf>
    <xf numFmtId="165" fontId="19" fillId="0" borderId="42" xfId="62" applyFont="1" applyFill="1" applyBorder="1" applyAlignment="1" applyProtection="1">
      <alignment/>
      <protection/>
    </xf>
    <xf numFmtId="0" fontId="26" fillId="0" borderId="42" xfId="51" applyNumberFormat="1" applyFont="1" applyFill="1" applyBorder="1">
      <alignment/>
      <protection/>
    </xf>
    <xf numFmtId="165" fontId="26" fillId="0" borderId="42" xfId="62" applyFont="1" applyFill="1" applyBorder="1" applyAlignment="1" applyProtection="1">
      <alignment horizontal="center" vertical="center" wrapText="1"/>
      <protection/>
    </xf>
    <xf numFmtId="40" fontId="12" fillId="0" borderId="76" xfId="0" applyNumberFormat="1" applyFont="1" applyFill="1" applyBorder="1" applyAlignment="1">
      <alignment vertical="center"/>
    </xf>
    <xf numFmtId="165" fontId="19" fillId="0" borderId="42" xfId="59" applyFont="1" applyBorder="1" applyAlignment="1">
      <alignment horizontal="right" vertical="center"/>
    </xf>
    <xf numFmtId="43" fontId="19" fillId="0" borderId="13" xfId="57" applyNumberFormat="1" applyFont="1" applyFill="1" applyBorder="1" applyAlignment="1" applyProtection="1">
      <alignment horizontal="center" vertical="center" wrapText="1"/>
      <protection/>
    </xf>
    <xf numFmtId="2" fontId="19" fillId="0" borderId="0" xfId="51" applyNumberFormat="1" applyFont="1" applyFill="1">
      <alignment/>
      <protection/>
    </xf>
    <xf numFmtId="165" fontId="0" fillId="0" borderId="0" xfId="57" applyFont="1" applyAlignment="1">
      <alignment/>
    </xf>
    <xf numFmtId="165" fontId="26" fillId="0" borderId="0" xfId="62" applyFont="1" applyFill="1" applyBorder="1" applyAlignment="1" applyProtection="1">
      <alignment horizontal="center" vertical="center" wrapText="1"/>
      <protection/>
    </xf>
    <xf numFmtId="165" fontId="11" fillId="35" borderId="33" xfId="57" applyFont="1" applyFill="1" applyBorder="1" applyAlignment="1">
      <alignment vertical="center"/>
    </xf>
    <xf numFmtId="37" fontId="13" fillId="0" borderId="0" xfId="0" applyNumberFormat="1" applyFont="1" applyAlignment="1">
      <alignment horizontal="left" vertical="center"/>
    </xf>
    <xf numFmtId="165" fontId="18" fillId="0" borderId="42" xfId="59" applyFont="1" applyFill="1" applyBorder="1" applyAlignment="1" applyProtection="1">
      <alignment horizontal="center" vertical="center" wrapText="1"/>
      <protection/>
    </xf>
    <xf numFmtId="165" fontId="18" fillId="0" borderId="42" xfId="59" applyFont="1" applyFill="1" applyBorder="1" applyAlignment="1" applyProtection="1">
      <alignment vertical="center" wrapText="1"/>
      <protection/>
    </xf>
    <xf numFmtId="40" fontId="12" fillId="0" borderId="63" xfId="57" applyNumberFormat="1" applyFont="1" applyFill="1" applyBorder="1" applyAlignment="1" applyProtection="1">
      <alignment horizontal="right" vertical="center"/>
      <protection/>
    </xf>
    <xf numFmtId="165" fontId="23" fillId="0" borderId="17" xfId="59" applyFont="1" applyFill="1" applyBorder="1" applyAlignment="1" applyProtection="1">
      <alignment horizontal="center" vertical="center"/>
      <protection/>
    </xf>
    <xf numFmtId="0" fontId="18" fillId="0" borderId="0" xfId="49" applyFont="1" applyFill="1" applyBorder="1" applyAlignment="1">
      <alignment horizontal="left"/>
      <protection/>
    </xf>
    <xf numFmtId="166" fontId="19" fillId="0" borderId="0" xfId="49" applyNumberFormat="1" applyFont="1" applyFill="1" applyBorder="1" applyAlignment="1">
      <alignment horizontal="right" vertical="center"/>
      <protection/>
    </xf>
    <xf numFmtId="165" fontId="19" fillId="0" borderId="26" xfId="61" applyFont="1" applyFill="1" applyBorder="1" applyAlignment="1" applyProtection="1">
      <alignment horizontal="right" vertical="center"/>
      <protection/>
    </xf>
    <xf numFmtId="165" fontId="18" fillId="0" borderId="0" xfId="49" applyNumberFormat="1" applyFont="1" applyFill="1" applyBorder="1" applyAlignment="1">
      <alignment horizontal="center" vertical="center"/>
      <protection/>
    </xf>
    <xf numFmtId="165" fontId="26" fillId="0" borderId="48" xfId="60" applyFont="1" applyFill="1" applyBorder="1" applyAlignment="1" applyProtection="1">
      <alignment horizontal="right" vertical="center" wrapText="1"/>
      <protection/>
    </xf>
    <xf numFmtId="165" fontId="19" fillId="0" borderId="39" xfId="61" applyFont="1" applyFill="1" applyBorder="1" applyAlignment="1" applyProtection="1">
      <alignment horizontal="right" vertical="center" wrapText="1"/>
      <protection/>
    </xf>
    <xf numFmtId="165" fontId="19" fillId="0" borderId="26" xfId="61" applyFont="1" applyFill="1" applyBorder="1" applyAlignment="1" applyProtection="1">
      <alignment horizontal="right" vertical="center" wrapText="1"/>
      <protection/>
    </xf>
    <xf numFmtId="165" fontId="19" fillId="0" borderId="49" xfId="60" applyFont="1" applyFill="1" applyBorder="1" applyAlignment="1" applyProtection="1">
      <alignment horizontal="right" vertical="center"/>
      <protection/>
    </xf>
    <xf numFmtId="165" fontId="18" fillId="0" borderId="67" xfId="60" applyFont="1" applyFill="1" applyBorder="1" applyAlignment="1" applyProtection="1">
      <alignment horizontal="right" vertical="center"/>
      <protection/>
    </xf>
    <xf numFmtId="165" fontId="23" fillId="0" borderId="64" xfId="6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right" vertical="center"/>
    </xf>
    <xf numFmtId="165" fontId="23" fillId="0" borderId="64" xfId="59" applyFont="1" applyFill="1" applyBorder="1" applyAlignment="1" applyProtection="1">
      <alignment vertical="center" wrapText="1"/>
      <protection/>
    </xf>
    <xf numFmtId="165" fontId="18" fillId="0" borderId="16" xfId="59" applyFont="1" applyFill="1" applyBorder="1" applyAlignment="1" applyProtection="1">
      <alignment vertical="center" wrapText="1"/>
      <protection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9" xfId="0" applyNumberFormat="1" applyFont="1" applyFill="1" applyBorder="1" applyAlignment="1">
      <alignment/>
    </xf>
    <xf numFmtId="0" fontId="18" fillId="0" borderId="29" xfId="0" applyFont="1" applyFill="1" applyBorder="1" applyAlignment="1">
      <alignment/>
    </xf>
    <xf numFmtId="165" fontId="18" fillId="0" borderId="29" xfId="59" applyFont="1" applyFill="1" applyBorder="1" applyAlignment="1" applyProtection="1">
      <alignment horizontal="center"/>
      <protection/>
    </xf>
    <xf numFmtId="40" fontId="13" fillId="0" borderId="69" xfId="0" applyNumberFormat="1" applyFont="1" applyFill="1" applyBorder="1" applyAlignment="1">
      <alignment vertical="center"/>
    </xf>
    <xf numFmtId="165" fontId="0" fillId="0" borderId="15" xfId="57" applyFont="1" applyFill="1" applyBorder="1" applyAlignment="1">
      <alignment horizontal="right" vertical="center"/>
    </xf>
    <xf numFmtId="165" fontId="0" fillId="0" borderId="0" xfId="57" applyFont="1" applyBorder="1" applyAlignment="1">
      <alignment horizontal="center" vertical="center"/>
    </xf>
    <xf numFmtId="165" fontId="13" fillId="0" borderId="0" xfId="57" applyFont="1" applyBorder="1" applyAlignment="1">
      <alignment horizontal="center" vertical="center"/>
    </xf>
    <xf numFmtId="165" fontId="19" fillId="0" borderId="0" xfId="60" applyFont="1" applyFill="1" applyBorder="1" applyAlignment="1" applyProtection="1">
      <alignment horizontal="right" vertical="center"/>
      <protection/>
    </xf>
    <xf numFmtId="165" fontId="18" fillId="0" borderId="0" xfId="49" applyNumberFormat="1" applyFont="1" applyBorder="1" applyAlignment="1">
      <alignment horizontal="center" vertical="center"/>
      <protection/>
    </xf>
    <xf numFmtId="165" fontId="0" fillId="0" borderId="0" xfId="57" applyFont="1" applyFill="1" applyBorder="1" applyAlignment="1">
      <alignment vertical="top"/>
    </xf>
    <xf numFmtId="0" fontId="23" fillId="35" borderId="54" xfId="52" applyFont="1" applyFill="1" applyBorder="1" applyAlignment="1">
      <alignment horizontal="center" vertical="center"/>
      <protection/>
    </xf>
    <xf numFmtId="0" fontId="23" fillId="35" borderId="54" xfId="52" applyFont="1" applyFill="1" applyBorder="1" applyAlignment="1">
      <alignment horizontal="center" vertical="center" wrapText="1"/>
      <protection/>
    </xf>
    <xf numFmtId="0" fontId="23" fillId="35" borderId="42" xfId="52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/>
      <protection/>
    </xf>
    <xf numFmtId="165" fontId="0" fillId="0" borderId="0" xfId="59" applyFont="1" applyFill="1" applyAlignment="1">
      <alignment horizontal="center"/>
    </xf>
    <xf numFmtId="0" fontId="0" fillId="0" borderId="0" xfId="48">
      <alignment/>
      <protection/>
    </xf>
    <xf numFmtId="165" fontId="0" fillId="0" borderId="42" xfId="59" applyFont="1" applyFill="1" applyBorder="1" applyAlignment="1">
      <alignment vertical="center"/>
    </xf>
    <xf numFmtId="165" fontId="7" fillId="0" borderId="42" xfId="59" applyFont="1" applyFill="1" applyBorder="1" applyAlignment="1">
      <alignment vertical="center"/>
    </xf>
    <xf numFmtId="165" fontId="2" fillId="0" borderId="42" xfId="59" applyFont="1" applyFill="1" applyBorder="1" applyAlignment="1">
      <alignment vertical="center"/>
    </xf>
    <xf numFmtId="164" fontId="18" fillId="0" borderId="55" xfId="64" applyNumberFormat="1" applyFont="1" applyFill="1" applyBorder="1" applyAlignment="1">
      <alignment vertical="center"/>
    </xf>
    <xf numFmtId="165" fontId="18" fillId="0" borderId="55" xfId="59" applyFont="1" applyFill="1" applyBorder="1" applyAlignment="1">
      <alignment vertical="center"/>
    </xf>
    <xf numFmtId="164" fontId="23" fillId="0" borderId="53" xfId="64" applyNumberFormat="1" applyFont="1" applyFill="1" applyBorder="1" applyAlignment="1">
      <alignment vertical="center"/>
    </xf>
    <xf numFmtId="165" fontId="7" fillId="0" borderId="54" xfId="59" applyFont="1" applyFill="1" applyBorder="1" applyAlignment="1">
      <alignment horizontal="right" vertical="center"/>
    </xf>
    <xf numFmtId="165" fontId="2" fillId="0" borderId="54" xfId="59" applyFont="1" applyFill="1" applyBorder="1" applyAlignment="1">
      <alignment vertical="center"/>
    </xf>
    <xf numFmtId="165" fontId="2" fillId="0" borderId="54" xfId="59" applyFont="1" applyFill="1" applyBorder="1" applyAlignment="1">
      <alignment horizontal="right" vertical="center"/>
    </xf>
    <xf numFmtId="165" fontId="0" fillId="0" borderId="54" xfId="59" applyFont="1" applyFill="1" applyBorder="1" applyAlignment="1">
      <alignment vertical="center"/>
    </xf>
    <xf numFmtId="165" fontId="18" fillId="0" borderId="52" xfId="59" applyFont="1" applyFill="1" applyBorder="1" applyAlignment="1">
      <alignment horizontal="center" vertical="center"/>
    </xf>
    <xf numFmtId="165" fontId="23" fillId="0" borderId="53" xfId="52" applyNumberFormat="1" applyFont="1" applyFill="1" applyBorder="1" applyAlignment="1">
      <alignment vertical="center"/>
      <protection/>
    </xf>
    <xf numFmtId="0" fontId="7" fillId="0" borderId="0" xfId="48" applyFont="1" applyBorder="1" applyAlignment="1">
      <alignment horizontal="right" vertical="center"/>
      <protection/>
    </xf>
    <xf numFmtId="0" fontId="7" fillId="0" borderId="0" xfId="48" applyFont="1" applyBorder="1" applyAlignment="1">
      <alignment horizontal="center" vertical="center"/>
      <protection/>
    </xf>
    <xf numFmtId="4" fontId="23" fillId="0" borderId="31" xfId="52" applyNumberFormat="1" applyFont="1" applyFill="1" applyBorder="1" applyAlignment="1">
      <alignment horizontal="right" vertical="center"/>
      <protection/>
    </xf>
    <xf numFmtId="10" fontId="23" fillId="0" borderId="31" xfId="55" applyNumberFormat="1" applyFont="1" applyFill="1" applyBorder="1" applyAlignment="1">
      <alignment vertical="center"/>
    </xf>
    <xf numFmtId="0" fontId="23" fillId="0" borderId="31" xfId="52" applyFont="1" applyFill="1" applyBorder="1" applyAlignment="1">
      <alignment horizontal="right" vertical="center"/>
      <protection/>
    </xf>
    <xf numFmtId="2" fontId="19" fillId="0" borderId="0" xfId="52" applyNumberFormat="1" applyFont="1" applyFill="1" applyAlignment="1">
      <alignment vertical="center"/>
      <protection/>
    </xf>
    <xf numFmtId="2" fontId="13" fillId="0" borderId="0" xfId="52" applyNumberFormat="1" applyFont="1" applyFill="1" applyBorder="1" applyAlignment="1">
      <alignment vertical="center"/>
      <protection/>
    </xf>
    <xf numFmtId="2" fontId="19" fillId="0" borderId="0" xfId="52" applyNumberFormat="1" applyFont="1" applyFill="1" applyBorder="1" applyAlignment="1">
      <alignment vertical="center"/>
      <protection/>
    </xf>
    <xf numFmtId="2" fontId="13" fillId="0" borderId="0" xfId="52" applyNumberFormat="1" applyFont="1" applyFill="1" applyBorder="1" applyAlignment="1">
      <alignment horizontal="left"/>
      <protection/>
    </xf>
    <xf numFmtId="4" fontId="18" fillId="0" borderId="55" xfId="52" applyNumberFormat="1" applyFont="1" applyFill="1" applyBorder="1" applyAlignment="1">
      <alignment vertical="center"/>
      <protection/>
    </xf>
    <xf numFmtId="0" fontId="90" fillId="0" borderId="0" xfId="48" applyFont="1" applyAlignment="1">
      <alignment horizontal="center" readingOrder="1"/>
      <protection/>
    </xf>
    <xf numFmtId="0" fontId="91" fillId="0" borderId="0" xfId="48" applyFont="1" applyAlignment="1">
      <alignment horizontal="center" readingOrder="1"/>
      <protection/>
    </xf>
    <xf numFmtId="0" fontId="90" fillId="0" borderId="0" xfId="48" applyFont="1" applyAlignment="1">
      <alignment horizontal="center" readingOrder="2"/>
      <protection/>
    </xf>
    <xf numFmtId="0" fontId="91" fillId="0" borderId="0" xfId="48" applyFont="1" applyAlignment="1">
      <alignment horizontal="center" readingOrder="2"/>
      <protection/>
    </xf>
    <xf numFmtId="0" fontId="23" fillId="0" borderId="0" xfId="52" applyFont="1" applyFill="1" applyBorder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165" fontId="0" fillId="0" borderId="0" xfId="57" applyFont="1" applyAlignment="1">
      <alignment horizontal="center" vertical="center"/>
    </xf>
    <xf numFmtId="165" fontId="18" fillId="0" borderId="16" xfId="59" applyFont="1" applyFill="1" applyBorder="1" applyAlignment="1" applyProtection="1">
      <alignment horizontal="center" vertical="center" wrapText="1"/>
      <protection/>
    </xf>
    <xf numFmtId="165" fontId="18" fillId="0" borderId="12" xfId="59" applyFont="1" applyFill="1" applyBorder="1" applyAlignment="1" applyProtection="1">
      <alignment horizontal="center" vertical="center" wrapText="1"/>
      <protection/>
    </xf>
    <xf numFmtId="165" fontId="18" fillId="0" borderId="21" xfId="59" applyFont="1" applyFill="1" applyBorder="1" applyAlignment="1" applyProtection="1">
      <alignment horizontal="center" vertical="center" wrapText="1"/>
      <protection/>
    </xf>
    <xf numFmtId="165" fontId="23" fillId="0" borderId="16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>
      <alignment horizontal="left"/>
    </xf>
    <xf numFmtId="165" fontId="26" fillId="35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169" fontId="19" fillId="0" borderId="1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right"/>
    </xf>
    <xf numFmtId="165" fontId="23" fillId="0" borderId="34" xfId="59" applyFont="1" applyFill="1" applyBorder="1" applyAlignment="1" applyProtection="1">
      <alignment vertical="top" wrapText="1"/>
      <protection/>
    </xf>
    <xf numFmtId="165" fontId="23" fillId="0" borderId="36" xfId="59" applyFont="1" applyFill="1" applyBorder="1" applyAlignment="1" applyProtection="1">
      <alignment vertical="top" wrapText="1"/>
      <protection/>
    </xf>
    <xf numFmtId="165" fontId="23" fillId="0" borderId="28" xfId="59" applyFont="1" applyFill="1" applyBorder="1" applyAlignment="1" applyProtection="1">
      <alignment vertical="top" wrapText="1"/>
      <protection/>
    </xf>
    <xf numFmtId="165" fontId="23" fillId="0" borderId="0" xfId="59" applyFont="1" applyFill="1" applyBorder="1" applyAlignment="1" applyProtection="1">
      <alignment vertical="top" wrapText="1"/>
      <protection/>
    </xf>
    <xf numFmtId="165" fontId="23" fillId="0" borderId="12" xfId="59" applyFont="1" applyFill="1" applyBorder="1" applyAlignment="1" applyProtection="1">
      <alignment vertical="top" wrapText="1"/>
      <protection/>
    </xf>
    <xf numFmtId="165" fontId="23" fillId="0" borderId="29" xfId="59" applyFont="1" applyFill="1" applyBorder="1" applyAlignment="1" applyProtection="1">
      <alignment vertical="top" wrapText="1"/>
      <protection/>
    </xf>
    <xf numFmtId="165" fontId="23" fillId="0" borderId="14" xfId="59" applyFont="1" applyFill="1" applyBorder="1" applyAlignment="1" applyProtection="1">
      <alignment vertical="top" wrapText="1"/>
      <protection/>
    </xf>
    <xf numFmtId="165" fontId="23" fillId="0" borderId="23" xfId="59" applyFont="1" applyFill="1" applyBorder="1" applyAlignment="1" applyProtection="1">
      <alignment vertical="top" wrapText="1"/>
      <protection/>
    </xf>
    <xf numFmtId="165" fontId="23" fillId="0" borderId="45" xfId="59" applyFont="1" applyFill="1" applyBorder="1" applyAlignment="1" applyProtection="1">
      <alignment vertical="top" wrapText="1"/>
      <protection/>
    </xf>
    <xf numFmtId="165" fontId="18" fillId="0" borderId="21" xfId="59" applyFont="1" applyFill="1" applyBorder="1" applyAlignment="1" applyProtection="1">
      <alignment vertical="center" wrapText="1"/>
      <protection/>
    </xf>
    <xf numFmtId="165" fontId="18" fillId="0" borderId="20" xfId="59" applyFont="1" applyFill="1" applyBorder="1" applyAlignment="1" applyProtection="1">
      <alignment vertical="center" wrapText="1"/>
      <protection/>
    </xf>
    <xf numFmtId="165" fontId="18" fillId="0" borderId="16" xfId="59" applyFont="1" applyFill="1" applyBorder="1" applyAlignment="1" applyProtection="1">
      <alignment horizontal="right" vertical="center"/>
      <protection/>
    </xf>
    <xf numFmtId="0" fontId="18" fillId="0" borderId="44" xfId="0" applyFont="1" applyFill="1" applyBorder="1" applyAlignment="1">
      <alignment horizontal="center" vertical="center" wrapText="1"/>
    </xf>
    <xf numFmtId="165" fontId="18" fillId="0" borderId="53" xfId="59" applyFont="1" applyFill="1" applyBorder="1" applyAlignment="1" applyProtection="1">
      <alignment horizontal="center" vertical="center" wrapText="1"/>
      <protection/>
    </xf>
    <xf numFmtId="165" fontId="18" fillId="0" borderId="63" xfId="59" applyFont="1" applyFill="1" applyBorder="1" applyAlignment="1" applyProtection="1">
      <alignment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165" fontId="23" fillId="0" borderId="77" xfId="59" applyFont="1" applyFill="1" applyBorder="1" applyAlignment="1" applyProtection="1">
      <alignment horizontal="right" vertical="center"/>
      <protection/>
    </xf>
    <xf numFmtId="49" fontId="19" fillId="0" borderId="49" xfId="49" applyNumberFormat="1" applyFont="1" applyFill="1" applyBorder="1" applyAlignment="1">
      <alignment horizontal="center" vertical="center" wrapText="1"/>
      <protection/>
    </xf>
    <xf numFmtId="0" fontId="18" fillId="0" borderId="42" xfId="49" applyFont="1" applyBorder="1" applyAlignment="1">
      <alignment horizontal="center" vertical="center"/>
      <protection/>
    </xf>
    <xf numFmtId="0" fontId="18" fillId="0" borderId="39" xfId="49" applyFont="1" applyBorder="1" applyAlignment="1">
      <alignment horizontal="center" vertical="center"/>
      <protection/>
    </xf>
    <xf numFmtId="0" fontId="18" fillId="0" borderId="52" xfId="49" applyFont="1" applyBorder="1" applyAlignment="1">
      <alignment horizontal="center" vertical="center"/>
      <protection/>
    </xf>
    <xf numFmtId="3" fontId="23" fillId="0" borderId="31" xfId="49" applyNumberFormat="1" applyFont="1" applyFill="1" applyBorder="1" applyAlignment="1">
      <alignment vertical="center"/>
      <protection/>
    </xf>
    <xf numFmtId="0" fontId="19" fillId="0" borderId="41" xfId="49" applyFont="1" applyFill="1" applyBorder="1" applyAlignment="1">
      <alignment vertical="center"/>
      <protection/>
    </xf>
    <xf numFmtId="165" fontId="0" fillId="0" borderId="42" xfId="57" applyFont="1" applyBorder="1" applyAlignment="1">
      <alignment horizontal="center" vertical="center"/>
    </xf>
    <xf numFmtId="4" fontId="26" fillId="0" borderId="53" xfId="51" applyNumberFormat="1" applyFont="1" applyBorder="1" applyAlignment="1">
      <alignment vertical="center"/>
      <protection/>
    </xf>
    <xf numFmtId="165" fontId="26" fillId="0" borderId="53" xfId="59" applyFont="1" applyBorder="1" applyAlignment="1">
      <alignment vertical="center"/>
    </xf>
    <xf numFmtId="165" fontId="19" fillId="0" borderId="16" xfId="62" applyFont="1" applyFill="1" applyBorder="1" applyAlignment="1" applyProtection="1">
      <alignment horizontal="right" vertical="center"/>
      <protection/>
    </xf>
    <xf numFmtId="4" fontId="26" fillId="0" borderId="16" xfId="51" applyNumberFormat="1" applyFont="1" applyFill="1" applyBorder="1" applyAlignment="1">
      <alignment horizontal="right" vertical="center"/>
      <protection/>
    </xf>
    <xf numFmtId="4" fontId="19" fillId="0" borderId="53" xfId="51" applyNumberFormat="1" applyFont="1" applyBorder="1" applyAlignment="1">
      <alignment vertical="center"/>
      <protection/>
    </xf>
    <xf numFmtId="0" fontId="19" fillId="0" borderId="53" xfId="51" applyFont="1" applyBorder="1">
      <alignment/>
      <protection/>
    </xf>
    <xf numFmtId="4" fontId="26" fillId="0" borderId="56" xfId="51" applyNumberFormat="1" applyFont="1" applyBorder="1" applyAlignment="1">
      <alignment vertical="center"/>
      <protection/>
    </xf>
    <xf numFmtId="4" fontId="26" fillId="0" borderId="26" xfId="51" applyNumberFormat="1" applyFont="1" applyFill="1" applyBorder="1" applyAlignment="1">
      <alignment horizontal="right" vertical="center"/>
      <protection/>
    </xf>
    <xf numFmtId="4" fontId="26" fillId="0" borderId="64" xfId="51" applyNumberFormat="1" applyFont="1" applyFill="1" applyBorder="1" applyAlignment="1">
      <alignment horizontal="right" vertical="center"/>
      <protection/>
    </xf>
    <xf numFmtId="4" fontId="26" fillId="0" borderId="42" xfId="51" applyNumberFormat="1" applyFont="1" applyBorder="1" applyAlignment="1">
      <alignment vertical="center"/>
      <protection/>
    </xf>
    <xf numFmtId="4" fontId="26" fillId="0" borderId="49" xfId="51" applyNumberFormat="1" applyFont="1" applyFill="1" applyBorder="1" applyAlignment="1">
      <alignment horizontal="right" vertical="center"/>
      <protection/>
    </xf>
    <xf numFmtId="165" fontId="23" fillId="0" borderId="16" xfId="63" applyNumberFormat="1" applyFont="1" applyFill="1" applyBorder="1" applyAlignment="1" applyProtection="1">
      <alignment horizontal="right" vertical="center" wrapText="1"/>
      <protection/>
    </xf>
    <xf numFmtId="0" fontId="18" fillId="35" borderId="14" xfId="0" applyFont="1" applyFill="1" applyBorder="1" applyAlignment="1">
      <alignment horizontal="center" vertical="top" wrapText="1"/>
    </xf>
    <xf numFmtId="0" fontId="18" fillId="35" borderId="42" xfId="0" applyFont="1" applyFill="1" applyBorder="1" applyAlignment="1">
      <alignment horizontal="center" wrapText="1"/>
    </xf>
    <xf numFmtId="165" fontId="26" fillId="35" borderId="10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left" vertical="center" indent="1"/>
    </xf>
    <xf numFmtId="165" fontId="23" fillId="35" borderId="12" xfId="63" applyNumberFormat="1" applyFont="1" applyFill="1" applyBorder="1" applyAlignment="1" applyProtection="1">
      <alignment horizontal="center" vertical="center"/>
      <protection/>
    </xf>
    <xf numFmtId="165" fontId="18" fillId="35" borderId="12" xfId="63" applyNumberFormat="1" applyFont="1" applyFill="1" applyBorder="1" applyAlignment="1" applyProtection="1">
      <alignment horizontal="center" vertical="center"/>
      <protection/>
    </xf>
    <xf numFmtId="0" fontId="18" fillId="35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vertical="center"/>
    </xf>
    <xf numFmtId="165" fontId="23" fillId="0" borderId="29" xfId="63" applyNumberFormat="1" applyFont="1" applyFill="1" applyBorder="1" applyAlignment="1" applyProtection="1">
      <alignment horizontal="right" vertical="center"/>
      <protection/>
    </xf>
    <xf numFmtId="165" fontId="18" fillId="35" borderId="63" xfId="63" applyNumberFormat="1" applyFont="1" applyFill="1" applyBorder="1" applyAlignment="1" applyProtection="1">
      <alignment horizontal="right" vertical="center"/>
      <protection/>
    </xf>
    <xf numFmtId="165" fontId="18" fillId="35" borderId="39" xfId="63" applyNumberFormat="1" applyFont="1" applyFill="1" applyBorder="1" applyAlignment="1" applyProtection="1">
      <alignment horizontal="right" vertical="center"/>
      <protection/>
    </xf>
    <xf numFmtId="165" fontId="18" fillId="35" borderId="52" xfId="63" applyNumberFormat="1" applyFont="1" applyFill="1" applyBorder="1" applyAlignment="1" applyProtection="1">
      <alignment horizontal="right" vertical="center"/>
      <protection/>
    </xf>
    <xf numFmtId="165" fontId="23" fillId="35" borderId="18" xfId="63" applyNumberFormat="1" applyFont="1" applyFill="1" applyBorder="1" applyAlignment="1" applyProtection="1">
      <alignment horizontal="right" vertical="center"/>
      <protection/>
    </xf>
    <xf numFmtId="165" fontId="23" fillId="35" borderId="42" xfId="63" applyNumberFormat="1" applyFont="1" applyFill="1" applyBorder="1" applyAlignment="1" applyProtection="1">
      <alignment horizontal="right" vertical="center"/>
      <protection/>
    </xf>
    <xf numFmtId="165" fontId="23" fillId="35" borderId="52" xfId="63" applyNumberFormat="1" applyFont="1" applyFill="1" applyBorder="1" applyAlignment="1" applyProtection="1">
      <alignment horizontal="right" vertical="center"/>
      <protection/>
    </xf>
    <xf numFmtId="0" fontId="23" fillId="0" borderId="29" xfId="0" applyFont="1" applyFill="1" applyBorder="1" applyAlignment="1">
      <alignment horizontal="center" vertical="center"/>
    </xf>
    <xf numFmtId="165" fontId="23" fillId="0" borderId="18" xfId="63" applyNumberFormat="1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165" fontId="23" fillId="0" borderId="20" xfId="63" applyNumberFormat="1" applyFont="1" applyFill="1" applyBorder="1" applyAlignment="1" applyProtection="1">
      <alignment horizontal="left" vertical="center" wrapText="1"/>
      <protection/>
    </xf>
    <xf numFmtId="165" fontId="23" fillId="0" borderId="12" xfId="63" applyNumberFormat="1" applyFont="1" applyFill="1" applyBorder="1" applyAlignment="1" applyProtection="1">
      <alignment horizontal="left" vertical="center" wrapText="1"/>
      <protection/>
    </xf>
    <xf numFmtId="165" fontId="23" fillId="35" borderId="12" xfId="63" applyNumberFormat="1" applyFont="1" applyFill="1" applyBorder="1" applyAlignment="1" applyProtection="1">
      <alignment horizontal="left" vertical="center" wrapText="1"/>
      <protection/>
    </xf>
    <xf numFmtId="165" fontId="18" fillId="35" borderId="0" xfId="63" applyNumberFormat="1" applyFont="1" applyFill="1" applyBorder="1" applyAlignment="1" applyProtection="1">
      <alignment horizontal="left" vertical="center" wrapText="1"/>
      <protection/>
    </xf>
    <xf numFmtId="0" fontId="20" fillId="0" borderId="29" xfId="0" applyFont="1" applyFill="1" applyBorder="1" applyAlignment="1">
      <alignment horizontal="center"/>
    </xf>
    <xf numFmtId="165" fontId="23" fillId="0" borderId="63" xfId="63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165" fontId="23" fillId="35" borderId="20" xfId="63" applyNumberFormat="1" applyFont="1" applyFill="1" applyBorder="1" applyAlignment="1" applyProtection="1">
      <alignment horizontal="center" vertical="center" wrapText="1"/>
      <protection/>
    </xf>
    <xf numFmtId="0" fontId="23" fillId="35" borderId="22" xfId="0" applyFont="1" applyFill="1" applyBorder="1" applyAlignment="1">
      <alignment vertical="top" wrapText="1"/>
    </xf>
    <xf numFmtId="43" fontId="23" fillId="35" borderId="22" xfId="0" applyNumberFormat="1" applyFont="1" applyFill="1" applyBorder="1" applyAlignment="1">
      <alignment vertical="top" wrapText="1"/>
    </xf>
    <xf numFmtId="0" fontId="23" fillId="0" borderId="31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165" fontId="23" fillId="35" borderId="21" xfId="63" applyNumberFormat="1" applyFont="1" applyFill="1" applyBorder="1" applyAlignment="1" applyProtection="1">
      <alignment vertical="center"/>
      <protection/>
    </xf>
    <xf numFmtId="165" fontId="23" fillId="35" borderId="25" xfId="63" applyNumberFormat="1" applyFont="1" applyFill="1" applyBorder="1" applyAlignment="1" applyProtection="1">
      <alignment vertical="center"/>
      <protection/>
    </xf>
    <xf numFmtId="165" fontId="23" fillId="35" borderId="63" xfId="63" applyNumberFormat="1" applyFont="1" applyFill="1" applyBorder="1" applyAlignment="1" applyProtection="1">
      <alignment vertical="center"/>
      <protection/>
    </xf>
    <xf numFmtId="0" fontId="23" fillId="0" borderId="42" xfId="0" applyFont="1" applyFill="1" applyBorder="1" applyAlignment="1">
      <alignment horizontal="left" vertical="top" wrapText="1"/>
    </xf>
    <xf numFmtId="165" fontId="23" fillId="35" borderId="42" xfId="0" applyNumberFormat="1" applyFont="1" applyFill="1" applyBorder="1" applyAlignment="1">
      <alignment horizontal="center" vertical="center"/>
    </xf>
    <xf numFmtId="165" fontId="23" fillId="35" borderId="42" xfId="0" applyNumberFormat="1" applyFont="1" applyFill="1" applyBorder="1" applyAlignment="1">
      <alignment vertical="center"/>
    </xf>
    <xf numFmtId="165" fontId="23" fillId="0" borderId="22" xfId="63" applyNumberFormat="1" applyFont="1" applyFill="1" applyBorder="1" applyAlignment="1" applyProtection="1">
      <alignment horizontal="left" vertical="center" wrapText="1"/>
      <protection/>
    </xf>
    <xf numFmtId="165" fontId="23" fillId="0" borderId="26" xfId="63" applyNumberFormat="1" applyFont="1" applyFill="1" applyBorder="1" applyAlignment="1" applyProtection="1">
      <alignment horizontal="right" vertical="center" wrapText="1"/>
      <protection/>
    </xf>
    <xf numFmtId="165" fontId="23" fillId="0" borderId="39" xfId="63" applyNumberFormat="1" applyFont="1" applyFill="1" applyBorder="1" applyAlignment="1" applyProtection="1">
      <alignment horizontal="right" vertical="center" wrapText="1"/>
      <protection/>
    </xf>
    <xf numFmtId="165" fontId="23" fillId="0" borderId="52" xfId="63" applyNumberFormat="1" applyFont="1" applyFill="1" applyBorder="1" applyAlignment="1" applyProtection="1">
      <alignment horizontal="right" vertical="center" wrapText="1"/>
      <protection/>
    </xf>
    <xf numFmtId="165" fontId="23" fillId="35" borderId="42" xfId="0" applyNumberFormat="1" applyFont="1" applyFill="1" applyBorder="1" applyAlignment="1">
      <alignment horizontal="right" vertical="center"/>
    </xf>
    <xf numFmtId="165" fontId="23" fillId="0" borderId="32" xfId="63" applyNumberFormat="1" applyFont="1" applyFill="1" applyBorder="1" applyAlignment="1" applyProtection="1">
      <alignment horizontal="right" vertical="center"/>
      <protection/>
    </xf>
    <xf numFmtId="165" fontId="23" fillId="0" borderId="46" xfId="63" applyNumberFormat="1" applyFont="1" applyFill="1" applyBorder="1" applyAlignment="1" applyProtection="1">
      <alignment horizontal="right" vertical="center"/>
      <protection/>
    </xf>
    <xf numFmtId="165" fontId="23" fillId="0" borderId="63" xfId="63" applyNumberFormat="1" applyFont="1" applyFill="1" applyBorder="1" applyAlignment="1" applyProtection="1">
      <alignment horizontal="right" vertical="center"/>
      <protection/>
    </xf>
    <xf numFmtId="0" fontId="18" fillId="0" borderId="29" xfId="0" applyFont="1" applyFill="1" applyBorder="1" applyAlignment="1">
      <alignment horizontal="right"/>
    </xf>
    <xf numFmtId="165" fontId="23" fillId="0" borderId="42" xfId="63" applyNumberFormat="1" applyFont="1" applyFill="1" applyBorder="1" applyAlignment="1" applyProtection="1">
      <alignment horizontal="right" vertical="center"/>
      <protection/>
    </xf>
    <xf numFmtId="0" fontId="23" fillId="0" borderId="42" xfId="0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8" fillId="0" borderId="6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165" fontId="18" fillId="0" borderId="29" xfId="63" applyNumberFormat="1" applyFont="1" applyFill="1" applyBorder="1" applyAlignment="1" applyProtection="1">
      <alignment horizontal="right" vertical="center"/>
      <protection/>
    </xf>
    <xf numFmtId="0" fontId="23" fillId="0" borderId="52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left" vertical="top" wrapText="1"/>
    </xf>
    <xf numFmtId="165" fontId="23" fillId="35" borderId="34" xfId="0" applyNumberFormat="1" applyFont="1" applyFill="1" applyBorder="1" applyAlignment="1">
      <alignment horizontal="center" vertical="center"/>
    </xf>
    <xf numFmtId="165" fontId="23" fillId="35" borderId="34" xfId="0" applyNumberFormat="1" applyFont="1" applyFill="1" applyBorder="1" applyAlignment="1">
      <alignment horizontal="right" vertical="center"/>
    </xf>
    <xf numFmtId="165" fontId="23" fillId="35" borderId="34" xfId="0" applyNumberFormat="1" applyFont="1" applyFill="1" applyBorder="1" applyAlignment="1">
      <alignment vertical="center"/>
    </xf>
    <xf numFmtId="43" fontId="23" fillId="0" borderId="29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6" fontId="20" fillId="0" borderId="29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165" fontId="18" fillId="0" borderId="0" xfId="63" applyNumberFormat="1" applyFont="1" applyFill="1" applyBorder="1" applyAlignment="1" applyProtection="1">
      <alignment horizontal="right"/>
      <protection/>
    </xf>
    <xf numFmtId="4" fontId="18" fillId="0" borderId="55" xfId="52" applyNumberFormat="1" applyFont="1" applyFill="1" applyBorder="1" applyAlignment="1">
      <alignment horizontal="right" vertical="center"/>
      <protection/>
    </xf>
    <xf numFmtId="164" fontId="18" fillId="0" borderId="55" xfId="64" applyNumberFormat="1" applyFont="1" applyFill="1" applyBorder="1" applyAlignment="1">
      <alignment horizontal="right" vertical="center"/>
    </xf>
    <xf numFmtId="165" fontId="18" fillId="0" borderId="42" xfId="59" applyFont="1" applyBorder="1" applyAlignment="1">
      <alignment vertical="center"/>
    </xf>
    <xf numFmtId="165" fontId="23" fillId="0" borderId="42" xfId="59" applyFont="1" applyBorder="1" applyAlignment="1">
      <alignment vertical="center"/>
    </xf>
    <xf numFmtId="0" fontId="18" fillId="0" borderId="42" xfId="52" applyFont="1" applyFill="1" applyBorder="1" applyAlignment="1">
      <alignment vertical="center"/>
      <protection/>
    </xf>
    <xf numFmtId="10" fontId="18" fillId="0" borderId="53" xfId="52" applyNumberFormat="1" applyFont="1" applyFill="1" applyBorder="1" applyAlignment="1">
      <alignment horizontal="right" vertical="center"/>
      <protection/>
    </xf>
    <xf numFmtId="165" fontId="18" fillId="0" borderId="55" xfId="59" applyFont="1" applyBorder="1" applyAlignment="1">
      <alignment horizontal="right" vertical="center"/>
    </xf>
    <xf numFmtId="165" fontId="7" fillId="0" borderId="42" xfId="59" applyFont="1" applyFill="1" applyBorder="1" applyAlignment="1">
      <alignment horizontal="right" vertical="center"/>
    </xf>
    <xf numFmtId="43" fontId="0" fillId="0" borderId="42" xfId="0" applyNumberForma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43" fontId="0" fillId="0" borderId="42" xfId="0" applyNumberForma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65" fontId="19" fillId="0" borderId="26" xfId="60" applyFont="1" applyFill="1" applyBorder="1" applyAlignment="1" applyProtection="1">
      <alignment horizontal="right" vertical="center" wrapText="1"/>
      <protection/>
    </xf>
    <xf numFmtId="165" fontId="19" fillId="0" borderId="29" xfId="60" applyFont="1" applyFill="1" applyBorder="1" applyAlignment="1" applyProtection="1">
      <alignment horizontal="right" vertical="center" wrapText="1"/>
      <protection/>
    </xf>
    <xf numFmtId="165" fontId="26" fillId="0" borderId="26" xfId="60" applyFont="1" applyFill="1" applyBorder="1" applyAlignment="1" applyProtection="1">
      <alignment horizontal="right" vertical="center" wrapText="1"/>
      <protection/>
    </xf>
    <xf numFmtId="165" fontId="26" fillId="0" borderId="77" xfId="60" applyFont="1" applyFill="1" applyBorder="1" applyAlignment="1" applyProtection="1">
      <alignment horizontal="right" vertical="center"/>
      <protection/>
    </xf>
    <xf numFmtId="0" fontId="23" fillId="35" borderId="53" xfId="52" applyFont="1" applyFill="1" applyBorder="1" applyAlignment="1">
      <alignment horizontal="center" vertical="center" wrapText="1"/>
      <protection/>
    </xf>
    <xf numFmtId="0" fontId="20" fillId="0" borderId="46" xfId="0" applyFont="1" applyFill="1" applyBorder="1" applyAlignment="1">
      <alignment horizontal="left" vertical="center"/>
    </xf>
    <xf numFmtId="165" fontId="18" fillId="0" borderId="39" xfId="0" applyNumberFormat="1" applyFont="1" applyFill="1" applyBorder="1" applyAlignment="1">
      <alignment horizontal="center" vertical="center"/>
    </xf>
    <xf numFmtId="165" fontId="18" fillId="0" borderId="51" xfId="0" applyNumberFormat="1" applyFont="1" applyFill="1" applyBorder="1" applyAlignment="1">
      <alignment horizontal="center" vertical="center"/>
    </xf>
    <xf numFmtId="165" fontId="18" fillId="0" borderId="46" xfId="0" applyNumberFormat="1" applyFont="1" applyFill="1" applyBorder="1" applyAlignment="1">
      <alignment horizontal="center" vertical="center"/>
    </xf>
    <xf numFmtId="165" fontId="18" fillId="0" borderId="26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165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0" fillId="0" borderId="46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165" fontId="93" fillId="0" borderId="0" xfId="0" applyNumberFormat="1" applyFont="1" applyFill="1" applyAlignment="1">
      <alignment vertical="center"/>
    </xf>
    <xf numFmtId="0" fontId="22" fillId="0" borderId="46" xfId="0" applyFont="1" applyFill="1" applyBorder="1" applyAlignment="1">
      <alignment horizontal="left" vertical="center"/>
    </xf>
    <xf numFmtId="165" fontId="87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23" fillId="37" borderId="0" xfId="0" applyFont="1" applyFill="1" applyAlignment="1">
      <alignment vertical="center"/>
    </xf>
    <xf numFmtId="4" fontId="23" fillId="0" borderId="55" xfId="52" applyNumberFormat="1" applyFont="1" applyFill="1" applyBorder="1" applyAlignment="1">
      <alignment horizontal="right" vertical="center"/>
      <protection/>
    </xf>
    <xf numFmtId="0" fontId="18" fillId="0" borderId="51" xfId="49" applyFont="1" applyBorder="1" applyAlignment="1">
      <alignment horizontal="center" vertical="center"/>
      <protection/>
    </xf>
    <xf numFmtId="165" fontId="18" fillId="0" borderId="42" xfId="59" applyFont="1" applyBorder="1" applyAlignment="1">
      <alignment horizontal="right" vertical="center"/>
    </xf>
    <xf numFmtId="165" fontId="23" fillId="0" borderId="42" xfId="59" applyFont="1" applyBorder="1" applyAlignment="1">
      <alignment horizontal="right" vertical="center"/>
    </xf>
    <xf numFmtId="165" fontId="23" fillId="0" borderId="55" xfId="59" applyFont="1" applyBorder="1" applyAlignment="1">
      <alignment horizontal="right" vertical="center"/>
    </xf>
    <xf numFmtId="4" fontId="23" fillId="0" borderId="55" xfId="52" applyNumberFormat="1" applyFont="1" applyFill="1" applyBorder="1" applyAlignment="1">
      <alignment vertical="center"/>
      <protection/>
    </xf>
    <xf numFmtId="165" fontId="11" fillId="0" borderId="55" xfId="57" applyFont="1" applyFill="1" applyBorder="1" applyAlignment="1">
      <alignment vertical="center"/>
    </xf>
    <xf numFmtId="164" fontId="18" fillId="0" borderId="42" xfId="64" applyNumberFormat="1" applyFont="1" applyFill="1" applyBorder="1" applyAlignment="1">
      <alignment horizontal="right" vertical="center"/>
    </xf>
    <xf numFmtId="164" fontId="23" fillId="0" borderId="42" xfId="64" applyNumberFormat="1" applyFont="1" applyFill="1" applyBorder="1" applyAlignment="1">
      <alignment horizontal="right" vertical="center"/>
    </xf>
    <xf numFmtId="164" fontId="23" fillId="0" borderId="55" xfId="64" applyNumberFormat="1" applyFont="1" applyFill="1" applyBorder="1" applyAlignment="1">
      <alignment horizontal="right" vertical="center"/>
    </xf>
    <xf numFmtId="165" fontId="0" fillId="0" borderId="0" xfId="57" applyFont="1" applyAlignment="1">
      <alignment vertical="center"/>
    </xf>
    <xf numFmtId="2" fontId="18" fillId="0" borderId="29" xfId="0" applyNumberFormat="1" applyFont="1" applyFill="1" applyBorder="1" applyAlignment="1">
      <alignment horizontal="right"/>
    </xf>
    <xf numFmtId="2" fontId="18" fillId="0" borderId="63" xfId="0" applyNumberFormat="1" applyFont="1" applyFill="1" applyBorder="1" applyAlignment="1">
      <alignment horizontal="right" vertical="center"/>
    </xf>
    <xf numFmtId="165" fontId="13" fillId="0" borderId="37" xfId="57" applyFont="1" applyFill="1" applyBorder="1" applyAlignment="1" applyProtection="1">
      <alignment horizontal="center" vertical="center"/>
      <protection/>
    </xf>
    <xf numFmtId="165" fontId="3" fillId="0" borderId="13" xfId="57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indent="6"/>
    </xf>
    <xf numFmtId="0" fontId="5" fillId="0" borderId="0" xfId="0" applyFont="1" applyFill="1" applyAlignment="1">
      <alignment horizontal="left"/>
    </xf>
    <xf numFmtId="40" fontId="13" fillId="0" borderId="0" xfId="57" applyNumberFormat="1" applyFont="1" applyFill="1" applyBorder="1" applyAlignment="1" applyProtection="1">
      <alignment horizontal="center" vertical="center"/>
      <protection/>
    </xf>
    <xf numFmtId="165" fontId="3" fillId="0" borderId="20" xfId="57" applyFont="1" applyFill="1" applyBorder="1" applyAlignment="1" applyProtection="1">
      <alignment horizontal="center"/>
      <protection/>
    </xf>
    <xf numFmtId="165" fontId="3" fillId="0" borderId="0" xfId="57" applyFont="1" applyFill="1" applyBorder="1" applyAlignment="1" applyProtection="1">
      <alignment horizontal="left"/>
      <protection/>
    </xf>
    <xf numFmtId="165" fontId="3" fillId="0" borderId="52" xfId="57" applyFont="1" applyFill="1" applyBorder="1" applyAlignment="1" applyProtection="1">
      <alignment horizontal="center" vertical="center" wrapText="1"/>
      <protection/>
    </xf>
    <xf numFmtId="165" fontId="0" fillId="0" borderId="66" xfId="57" applyFont="1" applyFill="1" applyBorder="1" applyAlignment="1" applyProtection="1">
      <alignment horizontal="center" vertical="center" wrapText="1"/>
      <protection/>
    </xf>
    <xf numFmtId="165" fontId="4" fillId="0" borderId="11" xfId="57" applyFont="1" applyFill="1" applyBorder="1" applyAlignment="1" applyProtection="1">
      <alignment vertical="center"/>
      <protection/>
    </xf>
    <xf numFmtId="165" fontId="4" fillId="0" borderId="78" xfId="57" applyFont="1" applyFill="1" applyBorder="1" applyAlignment="1" applyProtection="1">
      <alignment vertical="center"/>
      <protection/>
    </xf>
    <xf numFmtId="165" fontId="4" fillId="0" borderId="79" xfId="57" applyFont="1" applyFill="1" applyBorder="1" applyAlignment="1" applyProtection="1">
      <alignment vertical="center"/>
      <protection/>
    </xf>
    <xf numFmtId="165" fontId="4" fillId="0" borderId="56" xfId="57" applyFont="1" applyFill="1" applyBorder="1" applyAlignment="1" applyProtection="1">
      <alignment vertical="center"/>
      <protection/>
    </xf>
    <xf numFmtId="165" fontId="3" fillId="0" borderId="63" xfId="57" applyFont="1" applyFill="1" applyBorder="1" applyAlignment="1" applyProtection="1">
      <alignment horizontal="center" vertical="center" wrapText="1"/>
      <protection/>
    </xf>
    <xf numFmtId="165" fontId="3" fillId="0" borderId="22" xfId="57" applyFont="1" applyFill="1" applyBorder="1" applyAlignment="1" applyProtection="1">
      <alignment horizontal="center" wrapText="1"/>
      <protection/>
    </xf>
    <xf numFmtId="40" fontId="12" fillId="35" borderId="19" xfId="0" applyNumberFormat="1" applyFont="1" applyFill="1" applyBorder="1" applyAlignment="1">
      <alignment vertical="center"/>
    </xf>
    <xf numFmtId="40" fontId="12" fillId="35" borderId="28" xfId="0" applyNumberFormat="1" applyFont="1" applyFill="1" applyBorder="1" applyAlignment="1">
      <alignment vertical="center"/>
    </xf>
    <xf numFmtId="40" fontId="12" fillId="35" borderId="60" xfId="0" applyNumberFormat="1" applyFont="1" applyFill="1" applyBorder="1" applyAlignment="1">
      <alignment vertical="center"/>
    </xf>
    <xf numFmtId="40" fontId="12" fillId="0" borderId="11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40" fontId="12" fillId="0" borderId="20" xfId="57" applyNumberFormat="1" applyFont="1" applyFill="1" applyBorder="1" applyAlignment="1" applyProtection="1">
      <alignment horizontal="right" vertical="center"/>
      <protection/>
    </xf>
    <xf numFmtId="40" fontId="12" fillId="35" borderId="36" xfId="57" applyNumberFormat="1" applyFont="1" applyFill="1" applyBorder="1" applyAlignment="1" applyProtection="1">
      <alignment horizontal="right" vertical="center"/>
      <protection/>
    </xf>
    <xf numFmtId="40" fontId="12" fillId="0" borderId="35" xfId="57" applyNumberFormat="1" applyFont="1" applyFill="1" applyBorder="1" applyAlignment="1" applyProtection="1">
      <alignment horizontal="right" vertical="center"/>
      <protection/>
    </xf>
    <xf numFmtId="40" fontId="13" fillId="35" borderId="51" xfId="0" applyNumberFormat="1" applyFont="1" applyFill="1" applyBorder="1" applyAlignment="1">
      <alignment vertical="center"/>
    </xf>
    <xf numFmtId="40" fontId="13" fillId="35" borderId="54" xfId="0" applyNumberFormat="1" applyFont="1" applyFill="1" applyBorder="1" applyAlignment="1">
      <alignment vertical="center"/>
    </xf>
    <xf numFmtId="40" fontId="12" fillId="35" borderId="76" xfId="57" applyNumberFormat="1" applyFont="1" applyFill="1" applyBorder="1" applyAlignment="1" applyProtection="1">
      <alignment horizontal="right" vertical="center"/>
      <protection/>
    </xf>
    <xf numFmtId="40" fontId="12" fillId="0" borderId="0" xfId="0" applyNumberFormat="1" applyFont="1" applyFill="1" applyBorder="1" applyAlignment="1">
      <alignment horizontal="right" vertical="center"/>
    </xf>
    <xf numFmtId="40" fontId="12" fillId="0" borderId="63" xfId="0" applyNumberFormat="1" applyFont="1" applyFill="1" applyBorder="1" applyAlignment="1">
      <alignment horizontal="right" vertical="center"/>
    </xf>
    <xf numFmtId="40" fontId="12" fillId="0" borderId="39" xfId="0" applyNumberFormat="1" applyFont="1" applyFill="1" applyBorder="1" applyAlignment="1">
      <alignment horizontal="right" vertical="center"/>
    </xf>
    <xf numFmtId="40" fontId="12" fillId="0" borderId="52" xfId="0" applyNumberFormat="1" applyFont="1" applyFill="1" applyBorder="1" applyAlignment="1">
      <alignment horizontal="right" vertical="center"/>
    </xf>
    <xf numFmtId="40" fontId="12" fillId="0" borderId="42" xfId="0" applyNumberFormat="1" applyFont="1" applyFill="1" applyBorder="1" applyAlignment="1">
      <alignment horizontal="right" vertical="center"/>
    </xf>
    <xf numFmtId="165" fontId="13" fillId="0" borderId="29" xfId="57" applyFont="1" applyFill="1" applyBorder="1" applyAlignment="1" applyProtection="1">
      <alignment horizontal="center" vertical="center"/>
      <protection/>
    </xf>
    <xf numFmtId="40" fontId="13" fillId="35" borderId="39" xfId="0" applyNumberFormat="1" applyFont="1" applyFill="1" applyBorder="1" applyAlignment="1">
      <alignment vertical="center"/>
    </xf>
    <xf numFmtId="40" fontId="13" fillId="35" borderId="52" xfId="0" applyNumberFormat="1" applyFont="1" applyFill="1" applyBorder="1" applyAlignment="1">
      <alignment vertical="center"/>
    </xf>
    <xf numFmtId="40" fontId="12" fillId="35" borderId="29" xfId="0" applyNumberFormat="1" applyFont="1" applyFill="1" applyBorder="1" applyAlignment="1">
      <alignment vertical="center"/>
    </xf>
    <xf numFmtId="40" fontId="13" fillId="35" borderId="14" xfId="0" applyNumberFormat="1" applyFont="1" applyFill="1" applyBorder="1" applyAlignment="1">
      <alignment vertical="center"/>
    </xf>
    <xf numFmtId="40" fontId="12" fillId="35" borderId="80" xfId="0" applyNumberFormat="1" applyFont="1" applyFill="1" applyBorder="1" applyAlignment="1">
      <alignment vertical="center"/>
    </xf>
    <xf numFmtId="40" fontId="13" fillId="35" borderId="51" xfId="57" applyNumberFormat="1" applyFont="1" applyFill="1" applyBorder="1" applyAlignment="1" applyProtection="1">
      <alignment horizontal="right" vertical="center"/>
      <protection/>
    </xf>
    <xf numFmtId="165" fontId="13" fillId="0" borderId="0" xfId="57" applyFont="1" applyFill="1" applyBorder="1" applyAlignment="1" applyProtection="1">
      <alignment horizontal="center" vertical="center"/>
      <protection/>
    </xf>
    <xf numFmtId="40" fontId="12" fillId="0" borderId="20" xfId="0" applyNumberFormat="1" applyFont="1" applyFill="1" applyBorder="1" applyAlignment="1">
      <alignment horizontal="right" vertical="center"/>
    </xf>
    <xf numFmtId="40" fontId="12" fillId="0" borderId="63" xfId="0" applyNumberFormat="1" applyFont="1" applyFill="1" applyBorder="1" applyAlignment="1">
      <alignment vertical="center"/>
    </xf>
    <xf numFmtId="165" fontId="3" fillId="0" borderId="18" xfId="59" applyFont="1" applyFill="1" applyBorder="1" applyAlignment="1" applyProtection="1">
      <alignment vertical="center"/>
      <protection/>
    </xf>
    <xf numFmtId="165" fontId="4" fillId="0" borderId="18" xfId="59" applyFont="1" applyFill="1" applyBorder="1" applyAlignment="1" applyProtection="1">
      <alignment vertical="center"/>
      <protection/>
    </xf>
    <xf numFmtId="164" fontId="3" fillId="35" borderId="40" xfId="57" applyNumberFormat="1" applyFont="1" applyFill="1" applyBorder="1" applyAlignment="1" applyProtection="1">
      <alignment vertical="center"/>
      <protection/>
    </xf>
    <xf numFmtId="165" fontId="10" fillId="0" borderId="42" xfId="57" applyFont="1" applyFill="1" applyBorder="1" applyAlignment="1">
      <alignment horizontal="center" vertical="center"/>
    </xf>
    <xf numFmtId="0" fontId="19" fillId="0" borderId="42" xfId="49" applyFont="1" applyFill="1" applyBorder="1" applyAlignment="1">
      <alignment horizontal="center" vertical="center"/>
      <protection/>
    </xf>
    <xf numFmtId="165" fontId="26" fillId="0" borderId="39" xfId="61" applyFont="1" applyFill="1" applyBorder="1" applyAlignment="1" applyProtection="1">
      <alignment horizontal="right" vertical="center" wrapText="1"/>
      <protection/>
    </xf>
    <xf numFmtId="165" fontId="19" fillId="0" borderId="52" xfId="61" applyFont="1" applyFill="1" applyBorder="1" applyAlignment="1" applyProtection="1">
      <alignment horizontal="right" vertical="center" wrapText="1"/>
      <protection/>
    </xf>
    <xf numFmtId="40" fontId="13" fillId="35" borderId="69" xfId="0" applyNumberFormat="1" applyFont="1" applyFill="1" applyBorder="1" applyAlignment="1">
      <alignment vertical="center"/>
    </xf>
    <xf numFmtId="40" fontId="12" fillId="0" borderId="44" xfId="0" applyNumberFormat="1" applyFont="1" applyFill="1" applyBorder="1" applyAlignment="1">
      <alignment vertical="center"/>
    </xf>
    <xf numFmtId="40" fontId="12" fillId="35" borderId="76" xfId="0" applyNumberFormat="1" applyFont="1" applyFill="1" applyBorder="1" applyAlignment="1">
      <alignment vertical="center"/>
    </xf>
    <xf numFmtId="165" fontId="13" fillId="0" borderId="30" xfId="57" applyFont="1" applyFill="1" applyBorder="1" applyAlignment="1" applyProtection="1">
      <alignment horizontal="center" vertical="center"/>
      <protection/>
    </xf>
    <xf numFmtId="40" fontId="12" fillId="35" borderId="28" xfId="57" applyNumberFormat="1" applyFont="1" applyFill="1" applyBorder="1" applyAlignment="1" applyProtection="1">
      <alignment horizontal="right" vertical="center"/>
      <protection/>
    </xf>
    <xf numFmtId="40" fontId="12" fillId="0" borderId="39" xfId="0" applyNumberFormat="1" applyFont="1" applyFill="1" applyBorder="1" applyAlignment="1">
      <alignment vertical="center"/>
    </xf>
    <xf numFmtId="40" fontId="12" fillId="35" borderId="39" xfId="0" applyNumberFormat="1" applyFont="1" applyFill="1" applyBorder="1" applyAlignment="1">
      <alignment vertical="center"/>
    </xf>
    <xf numFmtId="40" fontId="12" fillId="35" borderId="81" xfId="0" applyNumberFormat="1" applyFont="1" applyFill="1" applyBorder="1" applyAlignment="1">
      <alignment vertical="center"/>
    </xf>
    <xf numFmtId="40" fontId="13" fillId="0" borderId="82" xfId="0" applyNumberFormat="1" applyFont="1" applyFill="1" applyBorder="1" applyAlignment="1">
      <alignment vertical="center"/>
    </xf>
    <xf numFmtId="39" fontId="12" fillId="35" borderId="32" xfId="0" applyNumberFormat="1" applyFont="1" applyFill="1" applyBorder="1" applyAlignment="1">
      <alignment vertical="center"/>
    </xf>
    <xf numFmtId="40" fontId="89" fillId="0" borderId="12" xfId="0" applyNumberFormat="1" applyFont="1" applyFill="1" applyBorder="1" applyAlignment="1">
      <alignment vertical="center"/>
    </xf>
    <xf numFmtId="39" fontId="13" fillId="35" borderId="39" xfId="0" applyNumberFormat="1" applyFont="1" applyFill="1" applyBorder="1" applyAlignment="1">
      <alignment vertical="center"/>
    </xf>
    <xf numFmtId="165" fontId="0" fillId="0" borderId="37" xfId="57" applyFont="1" applyFill="1" applyBorder="1" applyAlignment="1">
      <alignment vertical="center"/>
    </xf>
    <xf numFmtId="40" fontId="12" fillId="0" borderId="79" xfId="0" applyNumberFormat="1" applyFont="1" applyFill="1" applyBorder="1" applyAlignment="1">
      <alignment vertical="center"/>
    </xf>
    <xf numFmtId="165" fontId="12" fillId="0" borderId="60" xfId="57" applyFont="1" applyFill="1" applyBorder="1" applyAlignment="1" applyProtection="1">
      <alignment horizontal="center" vertical="center"/>
      <protection/>
    </xf>
    <xf numFmtId="40" fontId="12" fillId="35" borderId="69" xfId="0" applyNumberFormat="1" applyFont="1" applyFill="1" applyBorder="1" applyAlignment="1">
      <alignment vertical="center"/>
    </xf>
    <xf numFmtId="40" fontId="12" fillId="0" borderId="75" xfId="0" applyNumberFormat="1" applyFont="1" applyFill="1" applyBorder="1" applyAlignment="1">
      <alignment vertical="center"/>
    </xf>
    <xf numFmtId="165" fontId="11" fillId="0" borderId="0" xfId="57" applyFont="1" applyFill="1" applyAlignment="1">
      <alignment/>
    </xf>
    <xf numFmtId="39" fontId="3" fillId="35" borderId="39" xfId="0" applyNumberFormat="1" applyFont="1" applyFill="1" applyBorder="1" applyAlignment="1">
      <alignment vertical="center"/>
    </xf>
    <xf numFmtId="165" fontId="11" fillId="0" borderId="21" xfId="57" applyFont="1" applyFill="1" applyBorder="1" applyAlignment="1">
      <alignment vertical="center"/>
    </xf>
    <xf numFmtId="165" fontId="18" fillId="0" borderId="39" xfId="48" applyNumberFormat="1" applyFont="1" applyFill="1" applyBorder="1" applyAlignment="1">
      <alignment horizontal="center"/>
      <protection/>
    </xf>
    <xf numFmtId="43" fontId="88" fillId="0" borderId="0" xfId="0" applyNumberFormat="1" applyFont="1" applyFill="1" applyAlignment="1">
      <alignment horizontal="left" vertical="center" indent="1"/>
    </xf>
    <xf numFmtId="165" fontId="0" fillId="0" borderId="0" xfId="57" applyFont="1" applyBorder="1" applyAlignment="1">
      <alignment/>
    </xf>
    <xf numFmtId="165" fontId="4" fillId="0" borderId="51" xfId="57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/>
    </xf>
    <xf numFmtId="0" fontId="18" fillId="35" borderId="0" xfId="0" applyFont="1" applyFill="1" applyAlignment="1">
      <alignment/>
    </xf>
    <xf numFmtId="0" fontId="18" fillId="0" borderId="46" xfId="0" applyFont="1" applyFill="1" applyBorder="1" applyAlignment="1">
      <alignment horizontal="left" vertical="center"/>
    </xf>
    <xf numFmtId="165" fontId="18" fillId="0" borderId="0" xfId="0" applyNumberFormat="1" applyFont="1" applyFill="1" applyAlignment="1">
      <alignment/>
    </xf>
    <xf numFmtId="165" fontId="0" fillId="0" borderId="65" xfId="57" applyFont="1" applyFill="1" applyBorder="1" applyAlignment="1" applyProtection="1">
      <alignment horizontal="center" vertical="center" wrapText="1"/>
      <protection/>
    </xf>
    <xf numFmtId="165" fontId="0" fillId="0" borderId="46" xfId="57" applyFont="1" applyFill="1" applyBorder="1" applyAlignment="1" applyProtection="1">
      <alignment horizontal="center" vertical="center" wrapText="1"/>
      <protection/>
    </xf>
    <xf numFmtId="165" fontId="3" fillId="0" borderId="63" xfId="57" applyFont="1" applyFill="1" applyBorder="1" applyAlignment="1" applyProtection="1">
      <alignment horizontal="center" vertical="center"/>
      <protection/>
    </xf>
    <xf numFmtId="165" fontId="3" fillId="0" borderId="39" xfId="57" applyFont="1" applyFill="1" applyBorder="1" applyAlignment="1" applyProtection="1">
      <alignment horizontal="center" vertical="center"/>
      <protection/>
    </xf>
    <xf numFmtId="165" fontId="3" fillId="0" borderId="29" xfId="57" applyFont="1" applyFill="1" applyBorder="1" applyAlignment="1" applyProtection="1">
      <alignment horizontal="center" vertical="center"/>
      <protection/>
    </xf>
    <xf numFmtId="165" fontId="3" fillId="0" borderId="53" xfId="57" applyFont="1" applyFill="1" applyBorder="1" applyAlignment="1" applyProtection="1">
      <alignment horizontal="center" vertical="center"/>
      <protection/>
    </xf>
    <xf numFmtId="165" fontId="3" fillId="0" borderId="31" xfId="57" applyFont="1" applyFill="1" applyBorder="1" applyAlignment="1" applyProtection="1">
      <alignment horizontal="center" vertical="center"/>
      <protection/>
    </xf>
    <xf numFmtId="165" fontId="3" fillId="0" borderId="80" xfId="57" applyFont="1" applyFill="1" applyBorder="1" applyAlignment="1" applyProtection="1">
      <alignment horizontal="center" vertical="center" wrapText="1"/>
      <protection/>
    </xf>
    <xf numFmtId="165" fontId="3" fillId="0" borderId="51" xfId="57" applyFont="1" applyFill="1" applyBorder="1" applyAlignment="1" applyProtection="1">
      <alignment horizontal="center" vertical="center" wrapText="1"/>
      <protection/>
    </xf>
    <xf numFmtId="165" fontId="3" fillId="0" borderId="46" xfId="57" applyFont="1" applyFill="1" applyBorder="1" applyAlignment="1" applyProtection="1">
      <alignment horizontal="center" vertical="center" wrapText="1"/>
      <protection/>
    </xf>
    <xf numFmtId="165" fontId="3" fillId="0" borderId="35" xfId="57" applyFont="1" applyFill="1" applyBorder="1" applyAlignment="1" applyProtection="1">
      <alignment horizontal="center" vertical="center"/>
      <protection/>
    </xf>
    <xf numFmtId="165" fontId="3" fillId="0" borderId="34" xfId="57" applyFont="1" applyFill="1" applyBorder="1" applyAlignment="1" applyProtection="1">
      <alignment horizontal="center" vertical="center"/>
      <protection/>
    </xf>
    <xf numFmtId="165" fontId="3" fillId="0" borderId="54" xfId="57" applyFont="1" applyFill="1" applyBorder="1" applyAlignment="1" applyProtection="1">
      <alignment horizontal="center" vertical="center"/>
      <protection/>
    </xf>
    <xf numFmtId="165" fontId="3" fillId="0" borderId="0" xfId="57" applyFont="1" applyFill="1" applyBorder="1" applyAlignment="1" applyProtection="1">
      <alignment horizontal="center" vertical="center"/>
      <protection/>
    </xf>
    <xf numFmtId="165" fontId="3" fillId="0" borderId="12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165" fontId="4" fillId="0" borderId="16" xfId="57" applyFont="1" applyFill="1" applyBorder="1" applyAlignment="1" applyProtection="1">
      <alignment horizontal="center" vertical="center"/>
      <protection/>
    </xf>
    <xf numFmtId="165" fontId="4" fillId="0" borderId="10" xfId="57" applyFont="1" applyFill="1" applyBorder="1" applyAlignment="1" applyProtection="1">
      <alignment horizontal="center" vertical="center"/>
      <protection/>
    </xf>
    <xf numFmtId="165" fontId="4" fillId="0" borderId="11" xfId="57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indent="7"/>
    </xf>
    <xf numFmtId="165" fontId="3" fillId="0" borderId="16" xfId="57" applyFont="1" applyFill="1" applyBorder="1" applyAlignment="1" applyProtection="1">
      <alignment horizontal="center" vertical="center"/>
      <protection/>
    </xf>
    <xf numFmtId="165" fontId="3" fillId="0" borderId="21" xfId="57" applyFont="1" applyFill="1" applyBorder="1" applyAlignment="1" applyProtection="1">
      <alignment horizontal="center" wrapText="1"/>
      <protection/>
    </xf>
    <xf numFmtId="165" fontId="3" fillId="0" borderId="21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wrapText="1"/>
      <protection/>
    </xf>
    <xf numFmtId="165" fontId="4" fillId="0" borderId="16" xfId="57" applyFont="1" applyFill="1" applyBorder="1" applyAlignment="1" applyProtection="1">
      <alignment horizontal="center" vertical="center" wrapText="1"/>
      <protection/>
    </xf>
    <xf numFmtId="165" fontId="4" fillId="0" borderId="11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center" vertical="center" wrapText="1"/>
      <protection/>
    </xf>
    <xf numFmtId="165" fontId="4" fillId="0" borderId="21" xfId="57" applyFont="1" applyFill="1" applyBorder="1" applyAlignment="1" applyProtection="1">
      <alignment horizontal="center" vertical="center"/>
      <protection/>
    </xf>
    <xf numFmtId="165" fontId="4" fillId="35" borderId="18" xfId="57" applyFont="1" applyFill="1" applyBorder="1" applyAlignment="1" applyProtection="1">
      <alignment horizontal="center" vertical="center"/>
      <protection/>
    </xf>
    <xf numFmtId="165" fontId="4" fillId="0" borderId="18" xfId="57" applyFont="1" applyFill="1" applyBorder="1" applyAlignment="1" applyProtection="1">
      <alignment horizontal="center" vertical="center"/>
      <protection/>
    </xf>
    <xf numFmtId="43" fontId="3" fillId="35" borderId="12" xfId="57" applyNumberFormat="1" applyFont="1" applyFill="1" applyBorder="1" applyAlignment="1" applyProtection="1">
      <alignment horizontal="center" vertical="center"/>
      <protection/>
    </xf>
    <xf numFmtId="164" fontId="3" fillId="35" borderId="17" xfId="57" applyNumberFormat="1" applyFont="1" applyFill="1" applyBorder="1" applyAlignment="1" applyProtection="1">
      <alignment horizontal="center" vertical="center"/>
      <protection/>
    </xf>
    <xf numFmtId="165" fontId="3" fillId="0" borderId="18" xfId="57" applyFont="1" applyFill="1" applyBorder="1" applyAlignment="1" applyProtection="1">
      <alignment horizontal="center" vertical="center"/>
      <protection/>
    </xf>
    <xf numFmtId="165" fontId="4" fillId="35" borderId="12" xfId="57" applyFont="1" applyFill="1" applyBorder="1" applyAlignment="1" applyProtection="1">
      <alignment horizontal="center" vertical="center"/>
      <protection/>
    </xf>
    <xf numFmtId="165" fontId="4" fillId="35" borderId="17" xfId="57" applyFont="1" applyFill="1" applyBorder="1" applyAlignment="1" applyProtection="1">
      <alignment horizontal="center" vertical="center"/>
      <protection/>
    </xf>
    <xf numFmtId="164" fontId="4" fillId="35" borderId="12" xfId="57" applyNumberFormat="1" applyFont="1" applyFill="1" applyBorder="1" applyAlignment="1" applyProtection="1">
      <alignment horizontal="center" vertical="center"/>
      <protection/>
    </xf>
    <xf numFmtId="164" fontId="4" fillId="35" borderId="17" xfId="57" applyNumberFormat="1" applyFont="1" applyFill="1" applyBorder="1" applyAlignment="1" applyProtection="1">
      <alignment horizontal="center" vertical="center"/>
      <protection/>
    </xf>
    <xf numFmtId="165" fontId="4" fillId="0" borderId="14" xfId="57" applyFont="1" applyFill="1" applyBorder="1" applyAlignment="1" applyProtection="1">
      <alignment horizontal="right" vertical="center"/>
      <protection/>
    </xf>
    <xf numFmtId="165" fontId="4" fillId="0" borderId="23" xfId="57" applyFont="1" applyFill="1" applyBorder="1" applyAlignment="1" applyProtection="1">
      <alignment horizontal="right" vertical="center"/>
      <protection/>
    </xf>
    <xf numFmtId="165" fontId="4" fillId="0" borderId="24" xfId="57" applyFont="1" applyFill="1" applyBorder="1" applyAlignment="1" applyProtection="1">
      <alignment horizontal="right" vertical="center"/>
      <protection/>
    </xf>
    <xf numFmtId="165" fontId="4" fillId="35" borderId="73" xfId="57" applyFont="1" applyFill="1" applyBorder="1" applyAlignment="1" applyProtection="1">
      <alignment horizontal="center" vertical="center"/>
      <protection/>
    </xf>
    <xf numFmtId="165" fontId="4" fillId="0" borderId="15" xfId="57" applyFont="1" applyFill="1" applyBorder="1" applyAlignment="1" applyProtection="1">
      <alignment horizontal="center" vertical="center"/>
      <protection/>
    </xf>
    <xf numFmtId="165" fontId="4" fillId="0" borderId="12" xfId="57" applyFont="1" applyFill="1" applyBorder="1" applyAlignment="1" applyProtection="1">
      <alignment horizontal="center" vertical="center"/>
      <protection/>
    </xf>
    <xf numFmtId="165" fontId="4" fillId="0" borderId="29" xfId="57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left"/>
    </xf>
    <xf numFmtId="165" fontId="3" fillId="0" borderId="13" xfId="57" applyFont="1" applyFill="1" applyBorder="1" applyAlignment="1" applyProtection="1">
      <alignment horizontal="center" vertical="center"/>
      <protection/>
    </xf>
    <xf numFmtId="165" fontId="4" fillId="0" borderId="16" xfId="57" applyFont="1" applyFill="1" applyBorder="1" applyAlignment="1" applyProtection="1">
      <alignment horizontal="center"/>
      <protection/>
    </xf>
    <xf numFmtId="165" fontId="4" fillId="0" borderId="10" xfId="57" applyFont="1" applyFill="1" applyBorder="1" applyAlignment="1" applyProtection="1">
      <alignment horizontal="center"/>
      <protection/>
    </xf>
    <xf numFmtId="165" fontId="4" fillId="0" borderId="11" xfId="57" applyFont="1" applyFill="1" applyBorder="1" applyAlignment="1" applyProtection="1">
      <alignment horizont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65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165" fontId="3" fillId="0" borderId="20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right" vertical="center"/>
      <protection/>
    </xf>
    <xf numFmtId="0" fontId="12" fillId="0" borderId="4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68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6"/>
    </xf>
    <xf numFmtId="0" fontId="12" fillId="0" borderId="19" xfId="0" applyFont="1" applyFill="1" applyBorder="1" applyAlignment="1">
      <alignment horizontal="center" vertical="center"/>
    </xf>
    <xf numFmtId="40" fontId="12" fillId="0" borderId="22" xfId="0" applyNumberFormat="1" applyFont="1" applyFill="1" applyBorder="1" applyAlignment="1">
      <alignment horizontal="left" vertical="center"/>
    </xf>
    <xf numFmtId="40" fontId="12" fillId="0" borderId="0" xfId="0" applyNumberFormat="1" applyFont="1" applyFill="1" applyBorder="1" applyAlignment="1">
      <alignment horizontal="left" vertical="center"/>
    </xf>
    <xf numFmtId="40" fontId="89" fillId="0" borderId="0" xfId="0" applyNumberFormat="1" applyFont="1" applyFill="1" applyBorder="1" applyAlignment="1">
      <alignment horizontal="left" vertical="center"/>
    </xf>
    <xf numFmtId="40" fontId="13" fillId="0" borderId="24" xfId="0" applyNumberFormat="1" applyFont="1" applyFill="1" applyBorder="1" applyAlignment="1">
      <alignment horizontal="left" vertical="center"/>
    </xf>
    <xf numFmtId="40" fontId="13" fillId="0" borderId="17" xfId="0" applyNumberFormat="1" applyFont="1" applyFill="1" applyBorder="1" applyAlignment="1">
      <alignment horizontal="left" vertical="center"/>
    </xf>
    <xf numFmtId="40" fontId="12" fillId="0" borderId="19" xfId="0" applyNumberFormat="1" applyFont="1" applyFill="1" applyBorder="1" applyAlignment="1">
      <alignment horizontal="left" vertical="center"/>
    </xf>
    <xf numFmtId="40" fontId="12" fillId="0" borderId="17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2" fillId="0" borderId="14" xfId="0" applyNumberFormat="1" applyFont="1" applyFill="1" applyBorder="1" applyAlignment="1">
      <alignment horizontal="center" vertical="center" wrapText="1"/>
    </xf>
    <xf numFmtId="40" fontId="13" fillId="0" borderId="68" xfId="0" applyNumberFormat="1" applyFont="1" applyFill="1" applyBorder="1" applyAlignment="1">
      <alignment horizontal="left" vertical="center"/>
    </xf>
    <xf numFmtId="40" fontId="13" fillId="0" borderId="10" xfId="0" applyNumberFormat="1" applyFont="1" applyFill="1" applyBorder="1" applyAlignment="1">
      <alignment horizontal="left" vertical="center"/>
    </xf>
    <xf numFmtId="40" fontId="12" fillId="0" borderId="24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7"/>
    </xf>
    <xf numFmtId="37" fontId="18" fillId="0" borderId="16" xfId="0" applyNumberFormat="1" applyFont="1" applyFill="1" applyBorder="1" applyAlignment="1">
      <alignment horizontal="center" vertical="center"/>
    </xf>
    <xf numFmtId="37" fontId="18" fillId="0" borderId="11" xfId="0" applyNumberFormat="1" applyFont="1" applyFill="1" applyBorder="1" applyAlignment="1">
      <alignment horizontal="center" vertical="center"/>
    </xf>
    <xf numFmtId="49" fontId="20" fillId="0" borderId="25" xfId="48" applyNumberFormat="1" applyFont="1" applyFill="1" applyBorder="1" applyAlignment="1">
      <alignment horizontal="center" vertical="center" wrapText="1"/>
      <protection/>
    </xf>
    <xf numFmtId="49" fontId="20" fillId="0" borderId="49" xfId="48" applyNumberFormat="1" applyFont="1" applyFill="1" applyBorder="1" applyAlignment="1">
      <alignment horizontal="center" vertical="center" wrapText="1"/>
      <protection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indent="7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20" fillId="0" borderId="48" xfId="48" applyNumberFormat="1" applyFont="1" applyFill="1" applyBorder="1" applyAlignment="1">
      <alignment horizontal="center" vertical="center" wrapText="1"/>
      <protection/>
    </xf>
    <xf numFmtId="49" fontId="20" fillId="0" borderId="21" xfId="48" applyNumberFormat="1" applyFont="1" applyFill="1" applyBorder="1" applyAlignment="1">
      <alignment horizontal="center" vertical="center" wrapText="1"/>
      <protection/>
    </xf>
    <xf numFmtId="49" fontId="20" fillId="0" borderId="13" xfId="48" applyNumberFormat="1" applyFont="1" applyFill="1" applyBorder="1" applyAlignment="1">
      <alignment horizontal="center" vertical="center" wrapText="1"/>
      <protection/>
    </xf>
    <xf numFmtId="49" fontId="21" fillId="35" borderId="21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165" fontId="23" fillId="0" borderId="53" xfId="59" applyFont="1" applyFill="1" applyBorder="1" applyAlignment="1" applyProtection="1">
      <alignment horizontal="center" vertical="center"/>
      <protection/>
    </xf>
    <xf numFmtId="165" fontId="23" fillId="0" borderId="55" xfId="59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165" fontId="18" fillId="0" borderId="16" xfId="59" applyFont="1" applyFill="1" applyBorder="1" applyAlignment="1" applyProtection="1">
      <alignment horizontal="center" vertical="center" wrapText="1"/>
      <protection/>
    </xf>
    <xf numFmtId="165" fontId="18" fillId="0" borderId="10" xfId="59" applyFont="1" applyFill="1" applyBorder="1" applyAlignment="1" applyProtection="1">
      <alignment horizontal="center" vertical="center" wrapText="1"/>
      <protection/>
    </xf>
    <xf numFmtId="165" fontId="18" fillId="0" borderId="67" xfId="59" applyFont="1" applyFill="1" applyBorder="1" applyAlignment="1" applyProtection="1">
      <alignment horizontal="center" vertical="center" wrapText="1"/>
      <protection/>
    </xf>
    <xf numFmtId="0" fontId="87" fillId="0" borderId="5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67" xfId="0" applyFont="1" applyFill="1" applyBorder="1" applyAlignment="1">
      <alignment horizontal="center"/>
    </xf>
    <xf numFmtId="165" fontId="23" fillId="0" borderId="15" xfId="59" applyFont="1" applyFill="1" applyBorder="1" applyAlignment="1" applyProtection="1">
      <alignment horizontal="center" vertical="center"/>
      <protection/>
    </xf>
    <xf numFmtId="165" fontId="18" fillId="0" borderId="15" xfId="59" applyFont="1" applyFill="1" applyBorder="1" applyAlignment="1" applyProtection="1">
      <alignment vertical="center" wrapText="1"/>
      <protection/>
    </xf>
    <xf numFmtId="165" fontId="23" fillId="0" borderId="16" xfId="59" applyFont="1" applyFill="1" applyBorder="1" applyAlignment="1" applyProtection="1">
      <alignment horizontal="center" vertical="center" wrapText="1"/>
      <protection/>
    </xf>
    <xf numFmtId="165" fontId="23" fillId="0" borderId="10" xfId="59" applyFont="1" applyFill="1" applyBorder="1" applyAlignment="1" applyProtection="1">
      <alignment horizontal="center" vertical="center" wrapText="1"/>
      <protection/>
    </xf>
    <xf numFmtId="165" fontId="23" fillId="0" borderId="67" xfId="59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65" fontId="23" fillId="0" borderId="53" xfId="59" applyFont="1" applyFill="1" applyBorder="1" applyAlignment="1" applyProtection="1">
      <alignment horizontal="center" vertical="center" wrapText="1"/>
      <protection/>
    </xf>
    <xf numFmtId="165" fontId="23" fillId="0" borderId="55" xfId="59" applyFont="1" applyFill="1" applyBorder="1" applyAlignment="1" applyProtection="1">
      <alignment horizontal="center" vertical="center" wrapText="1"/>
      <protection/>
    </xf>
    <xf numFmtId="0" fontId="18" fillId="0" borderId="70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165" fontId="18" fillId="0" borderId="53" xfId="59" applyFont="1" applyFill="1" applyBorder="1" applyAlignment="1" applyProtection="1">
      <alignment horizontal="center" vertical="center" wrapText="1"/>
      <protection/>
    </xf>
    <xf numFmtId="165" fontId="18" fillId="0" borderId="55" xfId="59" applyFont="1" applyFill="1" applyBorder="1" applyAlignment="1" applyProtection="1">
      <alignment horizontal="center" vertical="center" wrapText="1"/>
      <protection/>
    </xf>
    <xf numFmtId="37" fontId="18" fillId="0" borderId="16" xfId="0" applyNumberFormat="1" applyFont="1" applyFill="1" applyBorder="1" applyAlignment="1">
      <alignment horizontal="center" vertical="center" wrapText="1"/>
    </xf>
    <xf numFmtId="37" fontId="18" fillId="0" borderId="10" xfId="0" applyNumberFormat="1" applyFont="1" applyFill="1" applyBorder="1" applyAlignment="1">
      <alignment horizontal="center" vertical="center" wrapText="1"/>
    </xf>
    <xf numFmtId="37" fontId="18" fillId="0" borderId="67" xfId="0" applyNumberFormat="1" applyFont="1" applyFill="1" applyBorder="1" applyAlignment="1">
      <alignment horizontal="center" vertical="center" wrapText="1"/>
    </xf>
    <xf numFmtId="165" fontId="18" fillId="0" borderId="78" xfId="59" applyFont="1" applyFill="1" applyBorder="1" applyAlignment="1" applyProtection="1">
      <alignment horizontal="center" vertical="center" wrapText="1"/>
      <protection/>
    </xf>
    <xf numFmtId="165" fontId="18" fillId="0" borderId="62" xfId="59" applyFont="1" applyFill="1" applyBorder="1" applyAlignment="1" applyProtection="1">
      <alignment horizontal="center" vertical="center" wrapText="1"/>
      <protection/>
    </xf>
    <xf numFmtId="165" fontId="18" fillId="0" borderId="84" xfId="59" applyFont="1" applyFill="1" applyBorder="1" applyAlignment="1" applyProtection="1">
      <alignment horizontal="center" vertical="center" wrapText="1"/>
      <protection/>
    </xf>
    <xf numFmtId="165" fontId="23" fillId="0" borderId="16" xfId="59" applyFont="1" applyFill="1" applyBorder="1" applyAlignment="1" applyProtection="1">
      <alignment horizontal="center" vertical="center"/>
      <protection/>
    </xf>
    <xf numFmtId="165" fontId="23" fillId="0" borderId="10" xfId="59" applyFont="1" applyFill="1" applyBorder="1" applyAlignment="1" applyProtection="1">
      <alignment horizontal="center" vertical="center"/>
      <protection/>
    </xf>
    <xf numFmtId="165" fontId="23" fillId="0" borderId="67" xfId="59" applyFont="1" applyFill="1" applyBorder="1" applyAlignment="1" applyProtection="1">
      <alignment horizontal="center" vertical="center"/>
      <protection/>
    </xf>
    <xf numFmtId="165" fontId="18" fillId="0" borderId="0" xfId="59" applyFont="1" applyFill="1" applyBorder="1" applyAlignment="1" applyProtection="1">
      <alignment horizontal="center"/>
      <protection/>
    </xf>
    <xf numFmtId="39" fontId="18" fillId="0" borderId="16" xfId="0" applyNumberFormat="1" applyFont="1" applyFill="1" applyBorder="1" applyAlignment="1">
      <alignment horizontal="center" vertical="center" wrapText="1"/>
    </xf>
    <xf numFmtId="39" fontId="18" fillId="0" borderId="10" xfId="0" applyNumberFormat="1" applyFont="1" applyFill="1" applyBorder="1" applyAlignment="1">
      <alignment horizontal="center" vertical="center" wrapText="1"/>
    </xf>
    <xf numFmtId="39" fontId="18" fillId="0" borderId="67" xfId="0" applyNumberFormat="1" applyFont="1" applyFill="1" applyBorder="1" applyAlignment="1">
      <alignment horizontal="center" vertical="center" wrapText="1"/>
    </xf>
    <xf numFmtId="39" fontId="18" fillId="0" borderId="11" xfId="0" applyNumberFormat="1" applyFont="1" applyFill="1" applyBorder="1" applyAlignment="1">
      <alignment horizontal="center" vertical="center" wrapText="1"/>
    </xf>
    <xf numFmtId="165" fontId="18" fillId="0" borderId="42" xfId="59" applyFont="1" applyFill="1" applyBorder="1" applyAlignment="1" applyProtection="1">
      <alignment horizontal="center" vertical="center" wrapText="1"/>
      <protection/>
    </xf>
    <xf numFmtId="37" fontId="18" fillId="0" borderId="11" xfId="0" applyNumberFormat="1" applyFont="1" applyBorder="1" applyAlignment="1">
      <alignment horizontal="center" vertical="center"/>
    </xf>
    <xf numFmtId="37" fontId="18" fillId="0" borderId="15" xfId="0" applyNumberFormat="1" applyFont="1" applyFill="1" applyBorder="1" applyAlignment="1">
      <alignment horizontal="center" vertical="center" wrapText="1"/>
    </xf>
    <xf numFmtId="165" fontId="18" fillId="0" borderId="15" xfId="59" applyFont="1" applyFill="1" applyBorder="1" applyAlignment="1" applyProtection="1">
      <alignment horizontal="center" vertical="center" wrapText="1"/>
      <protection/>
    </xf>
    <xf numFmtId="165" fontId="18" fillId="0" borderId="35" xfId="59" applyFont="1" applyFill="1" applyBorder="1" applyAlignment="1" applyProtection="1">
      <alignment horizontal="center" vertical="center" wrapText="1"/>
      <protection/>
    </xf>
    <xf numFmtId="165" fontId="18" fillId="0" borderId="28" xfId="59" applyFont="1" applyFill="1" applyBorder="1" applyAlignment="1" applyProtection="1">
      <alignment horizontal="center" vertical="center" wrapText="1"/>
      <protection/>
    </xf>
    <xf numFmtId="165" fontId="23" fillId="0" borderId="15" xfId="59" applyFont="1" applyFill="1" applyBorder="1" applyAlignment="1" applyProtection="1">
      <alignment vertical="center"/>
      <protection/>
    </xf>
    <xf numFmtId="165" fontId="18" fillId="0" borderId="85" xfId="59" applyFont="1" applyFill="1" applyBorder="1" applyAlignment="1" applyProtection="1">
      <alignment vertical="center" wrapText="1"/>
      <protection/>
    </xf>
    <xf numFmtId="165" fontId="18" fillId="0" borderId="13" xfId="59" applyFont="1" applyFill="1" applyBorder="1" applyAlignment="1" applyProtection="1">
      <alignment vertical="center" wrapText="1"/>
      <protection/>
    </xf>
    <xf numFmtId="165" fontId="23" fillId="0" borderId="16" xfId="59" applyFont="1" applyFill="1" applyBorder="1" applyAlignment="1" applyProtection="1">
      <alignment horizontal="right" vertical="center"/>
      <protection/>
    </xf>
    <xf numFmtId="165" fontId="23" fillId="0" borderId="10" xfId="59" applyFont="1" applyFill="1" applyBorder="1" applyAlignment="1" applyProtection="1">
      <alignment horizontal="right" vertical="center"/>
      <protection/>
    </xf>
    <xf numFmtId="165" fontId="23" fillId="0" borderId="11" xfId="59" applyFont="1" applyFill="1" applyBorder="1" applyAlignment="1" applyProtection="1">
      <alignment horizontal="right" vertical="center"/>
      <protection/>
    </xf>
    <xf numFmtId="165" fontId="18" fillId="0" borderId="21" xfId="59" applyFont="1" applyFill="1" applyBorder="1" applyAlignment="1" applyProtection="1">
      <alignment horizontal="center" vertical="center" wrapText="1"/>
      <protection/>
    </xf>
    <xf numFmtId="165" fontId="18" fillId="0" borderId="12" xfId="59" applyFont="1" applyFill="1" applyBorder="1" applyAlignment="1" applyProtection="1">
      <alignment horizontal="right" vertical="center" wrapText="1"/>
      <protection/>
    </xf>
    <xf numFmtId="165" fontId="18" fillId="0" borderId="26" xfId="59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37" fontId="24" fillId="0" borderId="11" xfId="0" applyNumberFormat="1" applyFont="1" applyFill="1" applyBorder="1" applyAlignment="1">
      <alignment horizontal="center" vertical="center" wrapText="1"/>
    </xf>
    <xf numFmtId="37" fontId="23" fillId="0" borderId="86" xfId="0" applyNumberFormat="1" applyFont="1" applyFill="1" applyBorder="1" applyAlignment="1">
      <alignment horizontal="center" vertical="center"/>
    </xf>
    <xf numFmtId="37" fontId="23" fillId="0" borderId="62" xfId="0" applyNumberFormat="1" applyFont="1" applyFill="1" applyBorder="1" applyAlignment="1">
      <alignment horizontal="center" vertical="center"/>
    </xf>
    <xf numFmtId="37" fontId="23" fillId="0" borderId="84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165" fontId="18" fillId="0" borderId="16" xfId="59" applyFont="1" applyFill="1" applyBorder="1" applyAlignment="1" applyProtection="1">
      <alignment horizontal="right"/>
      <protection/>
    </xf>
    <xf numFmtId="165" fontId="18" fillId="0" borderId="64" xfId="59" applyFont="1" applyFill="1" applyBorder="1" applyAlignment="1" applyProtection="1">
      <alignment horizontal="right"/>
      <protection/>
    </xf>
    <xf numFmtId="37" fontId="23" fillId="0" borderId="70" xfId="0" applyNumberFormat="1" applyFont="1" applyFill="1" applyBorder="1" applyAlignment="1">
      <alignment horizontal="center" vertical="center"/>
    </xf>
    <xf numFmtId="37" fontId="23" fillId="0" borderId="82" xfId="0" applyNumberFormat="1" applyFont="1" applyFill="1" applyBorder="1" applyAlignment="1">
      <alignment horizontal="center" vertical="center"/>
    </xf>
    <xf numFmtId="37" fontId="23" fillId="0" borderId="83" xfId="0" applyNumberFormat="1" applyFont="1" applyFill="1" applyBorder="1" applyAlignment="1">
      <alignment horizontal="center" vertical="center"/>
    </xf>
    <xf numFmtId="37" fontId="23" fillId="0" borderId="7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indent="7"/>
    </xf>
    <xf numFmtId="49" fontId="10" fillId="0" borderId="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37" fontId="18" fillId="0" borderId="0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indent="7"/>
    </xf>
    <xf numFmtId="49" fontId="12" fillId="0" borderId="0" xfId="0" applyNumberFormat="1" applyFont="1" applyBorder="1" applyAlignment="1">
      <alignment horizontal="left" indent="7"/>
    </xf>
    <xf numFmtId="165" fontId="18" fillId="0" borderId="16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horizontal="right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165" fontId="23" fillId="0" borderId="15" xfId="59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5" fontId="18" fillId="35" borderId="15" xfId="59" applyFont="1" applyFill="1" applyBorder="1" applyAlignment="1" applyProtection="1">
      <alignment horizontal="center" vertical="center" wrapText="1"/>
      <protection/>
    </xf>
    <xf numFmtId="165" fontId="18" fillId="35" borderId="16" xfId="59" applyFont="1" applyFill="1" applyBorder="1" applyAlignment="1" applyProtection="1">
      <alignment horizontal="center" vertical="center" wrapText="1"/>
      <protection/>
    </xf>
    <xf numFmtId="165" fontId="18" fillId="35" borderId="10" xfId="59" applyFont="1" applyFill="1" applyBorder="1" applyAlignment="1" applyProtection="1">
      <alignment horizontal="center" vertical="center" wrapText="1"/>
      <protection/>
    </xf>
    <xf numFmtId="165" fontId="18" fillId="35" borderId="67" xfId="59" applyFont="1" applyFill="1" applyBorder="1" applyAlignment="1" applyProtection="1">
      <alignment horizontal="center" vertical="center" wrapText="1"/>
      <protection/>
    </xf>
    <xf numFmtId="165" fontId="18" fillId="0" borderId="15" xfId="59" applyFont="1" applyFill="1" applyBorder="1" applyAlignment="1" applyProtection="1">
      <alignment horizontal="right" vertical="center" wrapText="1"/>
      <protection/>
    </xf>
    <xf numFmtId="165" fontId="18" fillId="0" borderId="64" xfId="59" applyFont="1" applyFill="1" applyBorder="1" applyAlignment="1" applyProtection="1">
      <alignment horizontal="right" vertical="center" wrapText="1"/>
      <protection/>
    </xf>
    <xf numFmtId="0" fontId="18" fillId="0" borderId="64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166" fontId="18" fillId="0" borderId="23" xfId="0" applyNumberFormat="1" applyFont="1" applyFill="1" applyBorder="1" applyAlignment="1">
      <alignment horizontal="right"/>
    </xf>
    <xf numFmtId="0" fontId="18" fillId="0" borderId="4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48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 wrapText="1"/>
    </xf>
    <xf numFmtId="165" fontId="18" fillId="0" borderId="12" xfId="57" applyFont="1" applyFill="1" applyBorder="1" applyAlignment="1" applyProtection="1">
      <alignment horizontal="right" vertical="center" wrapText="1"/>
      <protection/>
    </xf>
    <xf numFmtId="165" fontId="18" fillId="0" borderId="26" xfId="57" applyFont="1" applyFill="1" applyBorder="1" applyAlignment="1" applyProtection="1">
      <alignment horizontal="right" vertical="center" wrapText="1"/>
      <protection/>
    </xf>
    <xf numFmtId="165" fontId="18" fillId="0" borderId="80" xfId="57" applyFont="1" applyFill="1" applyBorder="1" applyAlignment="1" applyProtection="1">
      <alignment horizontal="right" vertical="center" wrapText="1"/>
      <protection/>
    </xf>
    <xf numFmtId="165" fontId="18" fillId="0" borderId="44" xfId="57" applyFont="1" applyFill="1" applyBorder="1" applyAlignment="1" applyProtection="1">
      <alignment horizontal="right" vertical="center" wrapText="1"/>
      <protection/>
    </xf>
    <xf numFmtId="165" fontId="18" fillId="0" borderId="12" xfId="57" applyFont="1" applyFill="1" applyBorder="1" applyAlignment="1" applyProtection="1">
      <alignment horizontal="center" vertical="center" wrapText="1"/>
      <protection/>
    </xf>
    <xf numFmtId="165" fontId="18" fillId="0" borderId="29" xfId="57" applyFont="1" applyFill="1" applyBorder="1" applyAlignment="1" applyProtection="1">
      <alignment horizontal="center" vertical="center" wrapText="1"/>
      <protection/>
    </xf>
    <xf numFmtId="165" fontId="18" fillId="0" borderId="16" xfId="57" applyFont="1" applyFill="1" applyBorder="1" applyAlignment="1" applyProtection="1">
      <alignment horizontal="center" vertical="center" wrapText="1"/>
      <protection/>
    </xf>
    <xf numFmtId="165" fontId="18" fillId="0" borderId="64" xfId="57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 vertical="center"/>
    </xf>
    <xf numFmtId="165" fontId="18" fillId="0" borderId="15" xfId="57" applyFont="1" applyFill="1" applyBorder="1" applyAlignment="1" applyProtection="1">
      <alignment horizontal="right" vertical="center"/>
      <protection/>
    </xf>
    <xf numFmtId="165" fontId="18" fillId="0" borderId="16" xfId="57" applyFont="1" applyFill="1" applyBorder="1" applyAlignment="1" applyProtection="1">
      <alignment horizontal="right" vertical="center"/>
      <protection/>
    </xf>
    <xf numFmtId="165" fontId="18" fillId="0" borderId="64" xfId="57" applyFont="1" applyFill="1" applyBorder="1" applyAlignment="1" applyProtection="1">
      <alignment horizontal="right" vertic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55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65" fontId="23" fillId="0" borderId="50" xfId="57" applyFont="1" applyFill="1" applyBorder="1" applyAlignment="1" applyProtection="1">
      <alignment horizontal="center" vertical="center" wrapText="1"/>
      <protection/>
    </xf>
    <xf numFmtId="165" fontId="23" fillId="0" borderId="67" xfId="57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 wrapText="1"/>
    </xf>
    <xf numFmtId="165" fontId="18" fillId="0" borderId="12" xfId="57" applyFont="1" applyFill="1" applyBorder="1" applyAlignment="1" applyProtection="1">
      <alignment horizontal="center" vertical="center"/>
      <protection/>
    </xf>
    <xf numFmtId="165" fontId="18" fillId="0" borderId="20" xfId="57" applyFont="1" applyFill="1" applyBorder="1" applyAlignment="1" applyProtection="1">
      <alignment horizontal="center" vertical="center"/>
      <protection/>
    </xf>
    <xf numFmtId="165" fontId="18" fillId="0" borderId="48" xfId="57" applyFont="1" applyFill="1" applyBorder="1" applyAlignment="1" applyProtection="1">
      <alignment horizontal="center" vertical="center"/>
      <protection/>
    </xf>
    <xf numFmtId="165" fontId="23" fillId="0" borderId="12" xfId="57" applyFont="1" applyFill="1" applyBorder="1" applyAlignment="1" applyProtection="1">
      <alignment horizontal="center" vertical="center"/>
      <protection/>
    </xf>
    <xf numFmtId="165" fontId="23" fillId="0" borderId="26" xfId="57" applyFont="1" applyFill="1" applyBorder="1" applyAlignment="1" applyProtection="1">
      <alignment horizontal="center" vertical="center"/>
      <protection/>
    </xf>
    <xf numFmtId="165" fontId="18" fillId="0" borderId="26" xfId="57" applyFont="1" applyFill="1" applyBorder="1" applyAlignment="1" applyProtection="1">
      <alignment horizontal="center" vertical="center"/>
      <protection/>
    </xf>
    <xf numFmtId="165" fontId="18" fillId="0" borderId="29" xfId="57" applyFont="1" applyFill="1" applyBorder="1" applyAlignment="1" applyProtection="1">
      <alignment horizontal="center" vertical="center"/>
      <protection/>
    </xf>
    <xf numFmtId="165" fontId="18" fillId="0" borderId="16" xfId="57" applyFont="1" applyFill="1" applyBorder="1" applyAlignment="1" applyProtection="1">
      <alignment horizontal="center" vertical="center"/>
      <protection/>
    </xf>
    <xf numFmtId="165" fontId="18" fillId="0" borderId="64" xfId="57" applyFont="1" applyFill="1" applyBorder="1" applyAlignment="1" applyProtection="1">
      <alignment horizontal="center" vertical="center"/>
      <protection/>
    </xf>
    <xf numFmtId="165" fontId="18" fillId="0" borderId="12" xfId="57" applyFont="1" applyFill="1" applyBorder="1" applyAlignment="1" applyProtection="1">
      <alignment horizontal="center"/>
      <protection/>
    </xf>
    <xf numFmtId="165" fontId="18" fillId="0" borderId="26" xfId="57" applyFont="1" applyFill="1" applyBorder="1" applyAlignment="1" applyProtection="1">
      <alignment horizontal="center"/>
      <protection/>
    </xf>
    <xf numFmtId="165" fontId="18" fillId="0" borderId="17" xfId="57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65" fontId="18" fillId="0" borderId="14" xfId="57" applyFont="1" applyFill="1" applyBorder="1" applyAlignment="1" applyProtection="1">
      <alignment horizontal="center" vertical="center"/>
      <protection/>
    </xf>
    <xf numFmtId="165" fontId="18" fillId="0" borderId="24" xfId="57" applyFont="1" applyFill="1" applyBorder="1" applyAlignment="1" applyProtection="1">
      <alignment horizontal="center" vertical="center"/>
      <protection/>
    </xf>
    <xf numFmtId="165" fontId="18" fillId="0" borderId="45" xfId="57" applyFont="1" applyFill="1" applyBorder="1" applyAlignment="1" applyProtection="1">
      <alignment horizontal="center" vertical="center"/>
      <protection/>
    </xf>
    <xf numFmtId="3" fontId="23" fillId="0" borderId="53" xfId="49" applyNumberFormat="1" applyFont="1" applyFill="1" applyBorder="1" applyAlignment="1">
      <alignment horizontal="center" vertical="center"/>
      <protection/>
    </xf>
    <xf numFmtId="3" fontId="23" fillId="0" borderId="31" xfId="49" applyNumberFormat="1" applyFont="1" applyFill="1" applyBorder="1" applyAlignment="1">
      <alignment horizontal="center" vertical="center"/>
      <protection/>
    </xf>
    <xf numFmtId="2" fontId="23" fillId="0" borderId="50" xfId="57" applyNumberFormat="1" applyFont="1" applyFill="1" applyBorder="1" applyAlignment="1" applyProtection="1">
      <alignment horizontal="center" vertical="center" wrapText="1"/>
      <protection/>
    </xf>
    <xf numFmtId="2" fontId="23" fillId="0" borderId="10" xfId="57" applyNumberFormat="1" applyFont="1" applyFill="1" applyBorder="1" applyAlignment="1" applyProtection="1">
      <alignment horizontal="center" vertical="center" wrapText="1"/>
      <protection/>
    </xf>
    <xf numFmtId="4" fontId="26" fillId="0" borderId="12" xfId="57" applyNumberFormat="1" applyFont="1" applyFill="1" applyBorder="1" applyAlignment="1" applyProtection="1">
      <alignment horizontal="right" vertical="center"/>
      <protection/>
    </xf>
    <xf numFmtId="4" fontId="26" fillId="0" borderId="0" xfId="57" applyNumberFormat="1" applyFont="1" applyFill="1" applyBorder="1" applyAlignment="1" applyProtection="1">
      <alignment horizontal="right" vertical="center"/>
      <protection/>
    </xf>
    <xf numFmtId="4" fontId="26" fillId="0" borderId="29" xfId="57" applyNumberFormat="1" applyFont="1" applyFill="1" applyBorder="1" applyAlignment="1" applyProtection="1">
      <alignment horizontal="right" vertical="center"/>
      <protection/>
    </xf>
    <xf numFmtId="4" fontId="19" fillId="0" borderId="12" xfId="57" applyNumberFormat="1" applyFont="1" applyFill="1" applyBorder="1" applyAlignment="1" applyProtection="1">
      <alignment horizontal="right" vertical="center"/>
      <protection/>
    </xf>
    <xf numFmtId="4" fontId="19" fillId="0" borderId="0" xfId="57" applyNumberFormat="1" applyFont="1" applyFill="1" applyBorder="1" applyAlignment="1" applyProtection="1">
      <alignment horizontal="right" vertical="center"/>
      <protection/>
    </xf>
    <xf numFmtId="4" fontId="19" fillId="0" borderId="29" xfId="57" applyNumberFormat="1" applyFont="1" applyFill="1" applyBorder="1" applyAlignment="1" applyProtection="1">
      <alignment horizontal="right" vertical="center"/>
      <protection/>
    </xf>
    <xf numFmtId="4" fontId="26" fillId="0" borderId="16" xfId="57" applyNumberFormat="1" applyFont="1" applyFill="1" applyBorder="1" applyAlignment="1" applyProtection="1">
      <alignment horizontal="right" vertical="center"/>
      <protection/>
    </xf>
    <xf numFmtId="4" fontId="26" fillId="0" borderId="10" xfId="57" applyNumberFormat="1" applyFont="1" applyFill="1" applyBorder="1" applyAlignment="1" applyProtection="1">
      <alignment horizontal="right" vertical="center"/>
      <protection/>
    </xf>
    <xf numFmtId="4" fontId="19" fillId="0" borderId="17" xfId="57" applyNumberFormat="1" applyFont="1" applyFill="1" applyBorder="1" applyAlignment="1" applyProtection="1">
      <alignment horizontal="right" vertical="center"/>
      <protection/>
    </xf>
    <xf numFmtId="4" fontId="26" fillId="0" borderId="17" xfId="57" applyNumberFormat="1" applyFont="1" applyFill="1" applyBorder="1" applyAlignment="1" applyProtection="1">
      <alignment horizontal="right" vertical="center"/>
      <protection/>
    </xf>
    <xf numFmtId="0" fontId="19" fillId="0" borderId="31" xfId="49" applyFont="1" applyFill="1" applyBorder="1" applyAlignment="1">
      <alignment horizontal="center" vertical="center"/>
      <protection/>
    </xf>
    <xf numFmtId="0" fontId="19" fillId="0" borderId="55" xfId="49" applyFont="1" applyFill="1" applyBorder="1" applyAlignment="1">
      <alignment horizontal="center" vertical="center"/>
      <protection/>
    </xf>
    <xf numFmtId="3" fontId="24" fillId="0" borderId="35" xfId="49" applyNumberFormat="1" applyFont="1" applyFill="1" applyBorder="1" applyAlignment="1">
      <alignment horizontal="center" vertical="center"/>
      <protection/>
    </xf>
    <xf numFmtId="3" fontId="24" fillId="0" borderId="34" xfId="49" applyNumberFormat="1" applyFont="1" applyFill="1" applyBorder="1" applyAlignment="1">
      <alignment horizontal="center" vertical="center"/>
      <protection/>
    </xf>
    <xf numFmtId="3" fontId="24" fillId="0" borderId="28" xfId="49" applyNumberFormat="1" applyFont="1" applyFill="1" applyBorder="1" applyAlignment="1">
      <alignment horizontal="center" vertical="center"/>
      <protection/>
    </xf>
    <xf numFmtId="3" fontId="24" fillId="0" borderId="51" xfId="49" applyNumberFormat="1" applyFont="1" applyFill="1" applyBorder="1" applyAlignment="1">
      <alignment horizontal="center" vertical="center"/>
      <protection/>
    </xf>
    <xf numFmtId="3" fontId="24" fillId="0" borderId="0" xfId="49" applyNumberFormat="1" applyFont="1" applyFill="1" applyBorder="1" applyAlignment="1">
      <alignment horizontal="center" vertical="center"/>
      <protection/>
    </xf>
    <xf numFmtId="3" fontId="24" fillId="0" borderId="29" xfId="49" applyNumberFormat="1" applyFont="1" applyFill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34" xfId="49" applyFont="1" applyBorder="1" applyAlignment="1">
      <alignment horizontal="center" vertical="center"/>
      <protection/>
    </xf>
    <xf numFmtId="0" fontId="23" fillId="0" borderId="28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29" xfId="49" applyFont="1" applyBorder="1" applyAlignment="1">
      <alignment horizontal="center" vertical="center"/>
      <protection/>
    </xf>
    <xf numFmtId="165" fontId="19" fillId="0" borderId="12" xfId="60" applyFont="1" applyFill="1" applyBorder="1" applyAlignment="1" applyProtection="1">
      <alignment horizontal="center" vertical="center"/>
      <protection/>
    </xf>
    <xf numFmtId="165" fontId="19" fillId="0" borderId="29" xfId="60" applyFont="1" applyFill="1" applyBorder="1" applyAlignment="1" applyProtection="1">
      <alignment horizontal="center" vertical="center"/>
      <protection/>
    </xf>
    <xf numFmtId="165" fontId="26" fillId="0" borderId="42" xfId="60" applyFont="1" applyFill="1" applyBorder="1" applyAlignment="1" applyProtection="1">
      <alignment horizontal="center" vertical="center"/>
      <protection/>
    </xf>
    <xf numFmtId="43" fontId="18" fillId="0" borderId="42" xfId="49" applyNumberFormat="1" applyFont="1" applyBorder="1" applyAlignment="1">
      <alignment horizontal="right" vertical="center"/>
      <protection/>
    </xf>
    <xf numFmtId="0" fontId="18" fillId="0" borderId="42" xfId="49" applyFont="1" applyBorder="1" applyAlignment="1">
      <alignment horizontal="right" vertical="center"/>
      <protection/>
    </xf>
    <xf numFmtId="43" fontId="23" fillId="0" borderId="42" xfId="49" applyNumberFormat="1" applyFont="1" applyBorder="1" applyAlignment="1">
      <alignment horizontal="right" vertical="center"/>
      <protection/>
    </xf>
    <xf numFmtId="0" fontId="23" fillId="0" borderId="42" xfId="49" applyFont="1" applyBorder="1" applyAlignment="1">
      <alignment horizontal="right" vertical="center"/>
      <protection/>
    </xf>
    <xf numFmtId="165" fontId="19" fillId="0" borderId="12" xfId="57" applyFont="1" applyFill="1" applyBorder="1" applyAlignment="1" applyProtection="1">
      <alignment horizontal="center" vertical="center"/>
      <protection/>
    </xf>
    <xf numFmtId="165" fontId="19" fillId="0" borderId="29" xfId="57" applyFont="1" applyFill="1" applyBorder="1" applyAlignment="1" applyProtection="1">
      <alignment horizontal="center" vertical="center"/>
      <protection/>
    </xf>
    <xf numFmtId="165" fontId="26" fillId="0" borderId="12" xfId="60" applyFont="1" applyFill="1" applyBorder="1" applyAlignment="1" applyProtection="1">
      <alignment horizontal="center" vertical="center"/>
      <protection/>
    </xf>
    <xf numFmtId="165" fontId="26" fillId="0" borderId="29" xfId="60" applyFont="1" applyFill="1" applyBorder="1" applyAlignment="1" applyProtection="1">
      <alignment horizontal="center" vertical="center"/>
      <protection/>
    </xf>
    <xf numFmtId="0" fontId="19" fillId="0" borderId="53" xfId="49" applyFont="1" applyFill="1" applyBorder="1" applyAlignment="1">
      <alignment horizontal="center" vertical="center"/>
      <protection/>
    </xf>
    <xf numFmtId="4" fontId="26" fillId="0" borderId="36" xfId="57" applyNumberFormat="1" applyFont="1" applyFill="1" applyBorder="1" applyAlignment="1" applyProtection="1">
      <alignment horizontal="right" vertical="center"/>
      <protection/>
    </xf>
    <xf numFmtId="4" fontId="26" fillId="0" borderId="34" xfId="57" applyNumberFormat="1" applyFont="1" applyFill="1" applyBorder="1" applyAlignment="1" applyProtection="1">
      <alignment horizontal="right" vertical="center"/>
      <protection/>
    </xf>
    <xf numFmtId="4" fontId="26" fillId="0" borderId="28" xfId="57" applyNumberFormat="1" applyFont="1" applyFill="1" applyBorder="1" applyAlignment="1" applyProtection="1">
      <alignment horizontal="right" vertical="center"/>
      <protection/>
    </xf>
    <xf numFmtId="165" fontId="26" fillId="0" borderId="51" xfId="60" applyFont="1" applyFill="1" applyBorder="1" applyAlignment="1" applyProtection="1">
      <alignment horizontal="center" vertical="center"/>
      <protection/>
    </xf>
    <xf numFmtId="4" fontId="19" fillId="0" borderId="14" xfId="57" applyNumberFormat="1" applyFont="1" applyFill="1" applyBorder="1" applyAlignment="1" applyProtection="1">
      <alignment horizontal="right" vertical="center"/>
      <protection/>
    </xf>
    <xf numFmtId="4" fontId="19" fillId="0" borderId="24" xfId="57" applyNumberFormat="1" applyFont="1" applyFill="1" applyBorder="1" applyAlignment="1" applyProtection="1">
      <alignment horizontal="right" vertical="center"/>
      <protection/>
    </xf>
    <xf numFmtId="4" fontId="19" fillId="0" borderId="51" xfId="57" applyNumberFormat="1" applyFont="1" applyFill="1" applyBorder="1" applyAlignment="1" applyProtection="1">
      <alignment horizontal="right" vertical="center"/>
      <protection/>
    </xf>
    <xf numFmtId="4" fontId="19" fillId="35" borderId="12" xfId="57" applyNumberFormat="1" applyFont="1" applyFill="1" applyBorder="1" applyAlignment="1" applyProtection="1">
      <alignment horizontal="right" vertical="center"/>
      <protection/>
    </xf>
    <xf numFmtId="4" fontId="19" fillId="35" borderId="17" xfId="57" applyNumberFormat="1" applyFont="1" applyFill="1" applyBorder="1" applyAlignment="1" applyProtection="1">
      <alignment horizontal="right" vertical="center"/>
      <protection/>
    </xf>
    <xf numFmtId="3" fontId="19" fillId="0" borderId="11" xfId="49" applyNumberFormat="1" applyFont="1" applyFill="1" applyBorder="1" applyAlignment="1">
      <alignment horizontal="center" vertical="center"/>
      <protection/>
    </xf>
    <xf numFmtId="3" fontId="19" fillId="0" borderId="15" xfId="49" applyNumberFormat="1" applyFont="1" applyFill="1" applyBorder="1" applyAlignment="1">
      <alignment horizontal="center" vertical="center" wrapText="1"/>
      <protection/>
    </xf>
    <xf numFmtId="3" fontId="19" fillId="0" borderId="16" xfId="49" applyNumberFormat="1" applyFont="1" applyFill="1" applyBorder="1" applyAlignment="1">
      <alignment horizontal="center" vertical="center"/>
      <protection/>
    </xf>
    <xf numFmtId="3" fontId="19" fillId="0" borderId="67" xfId="49" applyNumberFormat="1" applyFont="1" applyFill="1" applyBorder="1" applyAlignment="1">
      <alignment horizontal="center" vertical="center"/>
      <protection/>
    </xf>
    <xf numFmtId="3" fontId="19" fillId="0" borderId="53" xfId="49" applyNumberFormat="1" applyFont="1" applyFill="1" applyBorder="1" applyAlignment="1">
      <alignment horizontal="center" vertical="center"/>
      <protection/>
    </xf>
    <xf numFmtId="3" fontId="19" fillId="0" borderId="31" xfId="49" applyNumberFormat="1" applyFont="1" applyFill="1" applyBorder="1" applyAlignment="1">
      <alignment horizontal="center" vertical="center"/>
      <protection/>
    </xf>
    <xf numFmtId="3" fontId="19" fillId="0" borderId="55" xfId="49" applyNumberFormat="1" applyFont="1" applyFill="1" applyBorder="1" applyAlignment="1">
      <alignment horizontal="center" vertical="center"/>
      <protection/>
    </xf>
    <xf numFmtId="0" fontId="18" fillId="0" borderId="53" xfId="49" applyFont="1" applyFill="1" applyBorder="1" applyAlignment="1">
      <alignment horizontal="center" vertical="center"/>
      <protection/>
    </xf>
    <xf numFmtId="0" fontId="18" fillId="0" borderId="55" xfId="49" applyFont="1" applyFill="1" applyBorder="1" applyAlignment="1">
      <alignment horizontal="center" vertical="center"/>
      <protection/>
    </xf>
    <xf numFmtId="3" fontId="19" fillId="0" borderId="20" xfId="49" applyNumberFormat="1" applyFont="1" applyFill="1" applyBorder="1" applyAlignment="1">
      <alignment horizontal="center" vertical="center" wrapText="1"/>
      <protection/>
    </xf>
    <xf numFmtId="3" fontId="19" fillId="0" borderId="22" xfId="49" applyNumberFormat="1" applyFont="1" applyFill="1" applyBorder="1" applyAlignment="1">
      <alignment horizontal="center" vertical="center" wrapText="1"/>
      <protection/>
    </xf>
    <xf numFmtId="3" fontId="19" fillId="0" borderId="14" xfId="49" applyNumberFormat="1" applyFont="1" applyFill="1" applyBorder="1" applyAlignment="1">
      <alignment horizontal="center" vertical="center" wrapText="1"/>
      <protection/>
    </xf>
    <xf numFmtId="3" fontId="19" fillId="0" borderId="23" xfId="49" applyNumberFormat="1" applyFont="1" applyFill="1" applyBorder="1" applyAlignment="1">
      <alignment horizontal="center" vertical="center" wrapText="1"/>
      <protection/>
    </xf>
    <xf numFmtId="4" fontId="26" fillId="0" borderId="20" xfId="57" applyNumberFormat="1" applyFont="1" applyFill="1" applyBorder="1" applyAlignment="1" applyProtection="1">
      <alignment horizontal="right" vertical="center"/>
      <protection/>
    </xf>
    <xf numFmtId="4" fontId="26" fillId="0" borderId="19" xfId="57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 indent="7"/>
    </xf>
    <xf numFmtId="3" fontId="19" fillId="0" borderId="11" xfId="49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51" applyNumberFormat="1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 readingOrder="1"/>
    </xf>
    <xf numFmtId="0" fontId="91" fillId="0" borderId="0" xfId="0" applyFont="1" applyAlignment="1">
      <alignment horizontal="center" readingOrder="1"/>
    </xf>
    <xf numFmtId="0" fontId="19" fillId="0" borderId="25" xfId="51" applyFont="1" applyBorder="1" applyAlignment="1">
      <alignment horizontal="center" vertical="center" wrapText="1"/>
      <protection/>
    </xf>
    <xf numFmtId="0" fontId="19" fillId="0" borderId="27" xfId="51" applyFont="1" applyBorder="1" applyAlignment="1">
      <alignment horizontal="center" vertical="center" wrapText="1"/>
      <protection/>
    </xf>
    <xf numFmtId="0" fontId="19" fillId="0" borderId="21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87" xfId="51" applyFont="1" applyFill="1" applyBorder="1" applyAlignment="1">
      <alignment horizontal="center" vertical="center"/>
      <protection/>
    </xf>
    <xf numFmtId="0" fontId="19" fillId="0" borderId="88" xfId="51" applyFont="1" applyFill="1" applyBorder="1" applyAlignment="1">
      <alignment horizontal="center" vertical="center"/>
      <protection/>
    </xf>
    <xf numFmtId="0" fontId="19" fillId="0" borderId="89" xfId="51" applyFont="1" applyFill="1" applyBorder="1" applyAlignment="1">
      <alignment horizontal="center" vertical="center"/>
      <protection/>
    </xf>
    <xf numFmtId="0" fontId="19" fillId="0" borderId="15" xfId="51" applyFont="1" applyFill="1" applyBorder="1" applyAlignment="1">
      <alignment horizontal="center" vertical="center"/>
      <protection/>
    </xf>
    <xf numFmtId="0" fontId="26" fillId="0" borderId="6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21" xfId="51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indent="7"/>
      <protection/>
    </xf>
    <xf numFmtId="0" fontId="19" fillId="0" borderId="0" xfId="51" applyFont="1" applyFill="1" applyBorder="1" applyAlignment="1">
      <alignment horizontal="left" indent="8"/>
      <protection/>
    </xf>
    <xf numFmtId="0" fontId="19" fillId="0" borderId="0" xfId="51" applyFont="1" applyFill="1" applyBorder="1" applyAlignment="1">
      <alignment horizontal="left" vertical="center" indent="7"/>
      <protection/>
    </xf>
    <xf numFmtId="0" fontId="19" fillId="0" borderId="47" xfId="51" applyFont="1" applyFill="1" applyBorder="1" applyAlignment="1">
      <alignment horizontal="center" vertical="center"/>
      <protection/>
    </xf>
    <xf numFmtId="0" fontId="19" fillId="0" borderId="36" xfId="51" applyFont="1" applyFill="1" applyBorder="1" applyAlignment="1">
      <alignment horizontal="center" vertical="center"/>
      <protection/>
    </xf>
    <xf numFmtId="0" fontId="19" fillId="0" borderId="34" xfId="51" applyFont="1" applyFill="1" applyBorder="1" applyAlignment="1">
      <alignment horizontal="center" vertical="center"/>
      <protection/>
    </xf>
    <xf numFmtId="0" fontId="19" fillId="0" borderId="28" xfId="51" applyFont="1" applyFill="1" applyBorder="1" applyAlignment="1">
      <alignment horizontal="center" vertical="center"/>
      <protection/>
    </xf>
    <xf numFmtId="165" fontId="18" fillId="0" borderId="12" xfId="63" applyNumberFormat="1" applyFont="1" applyFill="1" applyBorder="1" applyAlignment="1" applyProtection="1">
      <alignment horizontal="center" vertical="center"/>
      <protection/>
    </xf>
    <xf numFmtId="165" fontId="18" fillId="0" borderId="0" xfId="63" applyNumberFormat="1" applyFont="1" applyFill="1" applyBorder="1" applyAlignment="1" applyProtection="1">
      <alignment horizontal="center" vertical="center"/>
      <protection/>
    </xf>
    <xf numFmtId="165" fontId="18" fillId="0" borderId="29" xfId="63" applyNumberFormat="1" applyFont="1" applyFill="1" applyBorder="1" applyAlignment="1" applyProtection="1">
      <alignment horizontal="center" vertical="center"/>
      <protection/>
    </xf>
    <xf numFmtId="165" fontId="23" fillId="0" borderId="53" xfId="63" applyNumberFormat="1" applyFont="1" applyFill="1" applyBorder="1" applyAlignment="1" applyProtection="1">
      <alignment horizontal="center" vertical="center" wrapText="1"/>
      <protection/>
    </xf>
    <xf numFmtId="165" fontId="23" fillId="0" borderId="31" xfId="63" applyNumberFormat="1" applyFont="1" applyFill="1" applyBorder="1" applyAlignment="1" applyProtection="1">
      <alignment horizontal="center" vertical="center" wrapText="1"/>
      <protection/>
    </xf>
    <xf numFmtId="165" fontId="23" fillId="0" borderId="55" xfId="63" applyNumberFormat="1" applyFont="1" applyFill="1" applyBorder="1" applyAlignment="1" applyProtection="1">
      <alignment horizontal="center" vertical="center" wrapText="1"/>
      <protection/>
    </xf>
    <xf numFmtId="165" fontId="23" fillId="0" borderId="53" xfId="0" applyNumberFormat="1" applyFont="1" applyFill="1" applyBorder="1" applyAlignment="1">
      <alignment horizontal="center" vertical="center"/>
    </xf>
    <xf numFmtId="165" fontId="23" fillId="0" borderId="31" xfId="0" applyNumberFormat="1" applyFont="1" applyFill="1" applyBorder="1" applyAlignment="1">
      <alignment horizontal="center" vertical="center"/>
    </xf>
    <xf numFmtId="165" fontId="23" fillId="0" borderId="55" xfId="0" applyNumberFormat="1" applyFont="1" applyFill="1" applyBorder="1" applyAlignment="1">
      <alignment horizontal="center" vertical="center"/>
    </xf>
    <xf numFmtId="164" fontId="18" fillId="0" borderId="53" xfId="0" applyNumberFormat="1" applyFont="1" applyFill="1" applyBorder="1" applyAlignment="1">
      <alignment horizontal="center"/>
    </xf>
    <xf numFmtId="164" fontId="18" fillId="0" borderId="31" xfId="0" applyNumberFormat="1" applyFont="1" applyFill="1" applyBorder="1" applyAlignment="1">
      <alignment horizontal="center"/>
    </xf>
    <xf numFmtId="164" fontId="18" fillId="0" borderId="55" xfId="0" applyNumberFormat="1" applyFont="1" applyFill="1" applyBorder="1" applyAlignment="1">
      <alignment horizontal="center"/>
    </xf>
    <xf numFmtId="165" fontId="23" fillId="0" borderId="54" xfId="63" applyNumberFormat="1" applyFont="1" applyFill="1" applyBorder="1" applyAlignment="1" applyProtection="1">
      <alignment horizontal="right" vertical="center"/>
      <protection/>
    </xf>
    <xf numFmtId="165" fontId="23" fillId="0" borderId="41" xfId="63" applyNumberFormat="1" applyFont="1" applyFill="1" applyBorder="1" applyAlignment="1" applyProtection="1">
      <alignment horizontal="right" vertical="center"/>
      <protection/>
    </xf>
    <xf numFmtId="165" fontId="23" fillId="0" borderId="30" xfId="6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8" fillId="0" borderId="12" xfId="63" applyNumberFormat="1" applyFont="1" applyFill="1" applyBorder="1" applyAlignment="1" applyProtection="1">
      <alignment horizontal="center" vertical="center" wrapText="1"/>
      <protection/>
    </xf>
    <xf numFmtId="165" fontId="18" fillId="0" borderId="0" xfId="63" applyNumberFormat="1" applyFont="1" applyFill="1" applyBorder="1" applyAlignment="1" applyProtection="1">
      <alignment horizontal="center" vertical="center" wrapText="1"/>
      <protection/>
    </xf>
    <xf numFmtId="165" fontId="18" fillId="0" borderId="29" xfId="63" applyNumberFormat="1" applyFont="1" applyFill="1" applyBorder="1" applyAlignment="1" applyProtection="1">
      <alignment horizontal="center" vertical="center" wrapText="1"/>
      <protection/>
    </xf>
    <xf numFmtId="165" fontId="23" fillId="0" borderId="36" xfId="63" applyNumberFormat="1" applyFont="1" applyFill="1" applyBorder="1" applyAlignment="1" applyProtection="1">
      <alignment horizontal="center" vertical="center" wrapText="1"/>
      <protection/>
    </xf>
    <xf numFmtId="165" fontId="23" fillId="0" borderId="34" xfId="63" applyNumberFormat="1" applyFont="1" applyFill="1" applyBorder="1" applyAlignment="1" applyProtection="1">
      <alignment horizontal="center" vertical="center" wrapText="1"/>
      <protection/>
    </xf>
    <xf numFmtId="165" fontId="23" fillId="0" borderId="28" xfId="63" applyNumberFormat="1" applyFont="1" applyFill="1" applyBorder="1" applyAlignment="1" applyProtection="1">
      <alignment horizontal="center" vertical="center" wrapText="1"/>
      <protection/>
    </xf>
    <xf numFmtId="165" fontId="23" fillId="0" borderId="51" xfId="63" applyNumberFormat="1" applyFont="1" applyFill="1" applyBorder="1" applyAlignment="1" applyProtection="1">
      <alignment horizontal="right" vertical="center"/>
      <protection/>
    </xf>
    <xf numFmtId="165" fontId="23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29" xfId="63" applyNumberFormat="1" applyFont="1" applyFill="1" applyBorder="1" applyAlignment="1" applyProtection="1">
      <alignment horizontal="right" vertical="center"/>
      <protection/>
    </xf>
    <xf numFmtId="165" fontId="23" fillId="0" borderId="12" xfId="63" applyNumberFormat="1" applyFont="1" applyFill="1" applyBorder="1" applyAlignment="1" applyProtection="1">
      <alignment horizontal="center" vertical="center" wrapText="1"/>
      <protection/>
    </xf>
    <xf numFmtId="165" fontId="23" fillId="0" borderId="0" xfId="63" applyNumberFormat="1" applyFont="1" applyFill="1" applyBorder="1" applyAlignment="1" applyProtection="1">
      <alignment horizontal="center" vertical="center" wrapText="1"/>
      <protection/>
    </xf>
    <xf numFmtId="165" fontId="23" fillId="0" borderId="29" xfId="63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65" fontId="23" fillId="0" borderId="53" xfId="63" applyNumberFormat="1" applyFont="1" applyFill="1" applyBorder="1" applyAlignment="1" applyProtection="1">
      <alignment horizontal="right" vertical="center"/>
      <protection/>
    </xf>
    <xf numFmtId="165" fontId="23" fillId="0" borderId="31" xfId="63" applyNumberFormat="1" applyFont="1" applyFill="1" applyBorder="1" applyAlignment="1" applyProtection="1">
      <alignment horizontal="right" vertical="center"/>
      <protection/>
    </xf>
    <xf numFmtId="165" fontId="23" fillId="0" borderId="55" xfId="63" applyNumberFormat="1" applyFont="1" applyFill="1" applyBorder="1" applyAlignment="1" applyProtection="1">
      <alignment horizontal="right" vertical="center"/>
      <protection/>
    </xf>
    <xf numFmtId="165" fontId="0" fillId="0" borderId="42" xfId="63" applyNumberFormat="1" applyFont="1" applyFill="1" applyBorder="1" applyAlignment="1" applyProtection="1">
      <alignment horizontal="center" vertical="top" wrapText="1"/>
      <protection/>
    </xf>
    <xf numFmtId="0" fontId="18" fillId="0" borderId="53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165" fontId="2" fillId="0" borderId="53" xfId="63" applyNumberFormat="1" applyFont="1" applyFill="1" applyBorder="1" applyAlignment="1" applyProtection="1">
      <alignment horizontal="center" vertical="center" wrapText="1"/>
      <protection/>
    </xf>
    <xf numFmtId="165" fontId="2" fillId="0" borderId="31" xfId="63" applyNumberFormat="1" applyFont="1" applyFill="1" applyBorder="1" applyAlignment="1" applyProtection="1">
      <alignment horizontal="center" vertical="center" wrapText="1"/>
      <protection/>
    </xf>
    <xf numFmtId="165" fontId="2" fillId="0" borderId="55" xfId="63" applyNumberFormat="1" applyFont="1" applyFill="1" applyBorder="1" applyAlignment="1" applyProtection="1">
      <alignment horizontal="center" vertical="center" wrapText="1"/>
      <protection/>
    </xf>
    <xf numFmtId="165" fontId="23" fillId="0" borderId="35" xfId="63" applyNumberFormat="1" applyFont="1" applyFill="1" applyBorder="1" applyAlignment="1" applyProtection="1">
      <alignment horizontal="right" vertical="center"/>
      <protection/>
    </xf>
    <xf numFmtId="165" fontId="23" fillId="0" borderId="34" xfId="63" applyNumberFormat="1" applyFont="1" applyFill="1" applyBorder="1" applyAlignment="1" applyProtection="1">
      <alignment horizontal="right" vertical="center"/>
      <protection/>
    </xf>
    <xf numFmtId="165" fontId="23" fillId="0" borderId="28" xfId="63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5" fontId="0" fillId="0" borderId="53" xfId="63" applyNumberFormat="1" applyFont="1" applyFill="1" applyBorder="1" applyAlignment="1" applyProtection="1">
      <alignment horizontal="center" vertical="top" wrapText="1"/>
      <protection/>
    </xf>
    <xf numFmtId="165" fontId="0" fillId="0" borderId="31" xfId="63" applyNumberFormat="1" applyFont="1" applyFill="1" applyBorder="1" applyAlignment="1" applyProtection="1">
      <alignment horizontal="center" vertical="top" wrapText="1"/>
      <protection/>
    </xf>
    <xf numFmtId="165" fontId="0" fillId="0" borderId="55" xfId="63" applyNumberFormat="1" applyFont="1" applyFill="1" applyBorder="1" applyAlignment="1" applyProtection="1">
      <alignment horizontal="center" vertical="top" wrapText="1"/>
      <protection/>
    </xf>
    <xf numFmtId="0" fontId="18" fillId="0" borderId="5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54" xfId="0" applyFont="1" applyFill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165" fontId="0" fillId="0" borderId="53" xfId="63" applyNumberFormat="1" applyFont="1" applyFill="1" applyBorder="1" applyAlignment="1">
      <alignment horizontal="center" vertical="center"/>
    </xf>
    <xf numFmtId="165" fontId="0" fillId="0" borderId="31" xfId="63" applyNumberFormat="1" applyFont="1" applyFill="1" applyBorder="1" applyAlignment="1">
      <alignment horizontal="center" vertical="center"/>
    </xf>
    <xf numFmtId="165" fontId="0" fillId="0" borderId="55" xfId="6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165" fontId="2" fillId="0" borderId="42" xfId="63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>
      <alignment horizontal="center"/>
    </xf>
    <xf numFmtId="43" fontId="23" fillId="0" borderId="31" xfId="0" applyNumberFormat="1" applyFont="1" applyFill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165" fontId="23" fillId="0" borderId="5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65" fontId="23" fillId="0" borderId="53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23" fillId="35" borderId="17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164" fontId="18" fillId="0" borderId="53" xfId="0" applyNumberFormat="1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5" fontId="23" fillId="0" borderId="53" xfId="63" applyNumberFormat="1" applyFont="1" applyFill="1" applyBorder="1" applyAlignment="1" applyProtection="1">
      <alignment horizontal="right" vertical="center" wrapText="1"/>
      <protection/>
    </xf>
    <xf numFmtId="165" fontId="23" fillId="0" borderId="31" xfId="63" applyNumberFormat="1" applyFont="1" applyFill="1" applyBorder="1" applyAlignment="1" applyProtection="1">
      <alignment horizontal="right" vertical="center" wrapText="1"/>
      <protection/>
    </xf>
    <xf numFmtId="165" fontId="23" fillId="0" borderId="55" xfId="63" applyNumberFormat="1" applyFont="1" applyFill="1" applyBorder="1" applyAlignment="1" applyProtection="1">
      <alignment horizontal="right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165" fontId="18" fillId="35" borderId="42" xfId="0" applyNumberFormat="1" applyFont="1" applyFill="1" applyBorder="1" applyAlignment="1">
      <alignment horizontal="center" vertical="center" wrapText="1"/>
    </xf>
    <xf numFmtId="165" fontId="23" fillId="35" borderId="53" xfId="63" applyNumberFormat="1" applyFont="1" applyFill="1" applyBorder="1" applyAlignment="1" applyProtection="1">
      <alignment horizontal="center" vertical="center"/>
      <protection/>
    </xf>
    <xf numFmtId="165" fontId="23" fillId="35" borderId="55" xfId="63" applyNumberFormat="1" applyFont="1" applyFill="1" applyBorder="1" applyAlignment="1" applyProtection="1">
      <alignment horizontal="center" vertical="center"/>
      <protection/>
    </xf>
    <xf numFmtId="165" fontId="23" fillId="0" borderId="53" xfId="63" applyNumberFormat="1" applyFont="1" applyFill="1" applyBorder="1" applyAlignment="1" applyProtection="1">
      <alignment horizontal="center" vertical="center"/>
      <protection/>
    </xf>
    <xf numFmtId="165" fontId="23" fillId="0" borderId="55" xfId="63" applyNumberFormat="1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center"/>
    </xf>
    <xf numFmtId="165" fontId="18" fillId="0" borderId="35" xfId="63" applyNumberFormat="1" applyFont="1" applyFill="1" applyBorder="1" applyAlignment="1" applyProtection="1">
      <alignment horizontal="center" vertical="center"/>
      <protection/>
    </xf>
    <xf numFmtId="165" fontId="18" fillId="0" borderId="34" xfId="63" applyNumberFormat="1" applyFont="1" applyFill="1" applyBorder="1" applyAlignment="1" applyProtection="1">
      <alignment horizontal="center" vertical="center"/>
      <protection/>
    </xf>
    <xf numFmtId="165" fontId="18" fillId="0" borderId="28" xfId="63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165" fontId="18" fillId="0" borderId="17" xfId="6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wrapText="1"/>
    </xf>
    <xf numFmtId="43" fontId="18" fillId="0" borderId="51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29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5" fontId="18" fillId="0" borderId="51" xfId="63" applyNumberFormat="1" applyFont="1" applyFill="1" applyBorder="1" applyAlignment="1" applyProtection="1">
      <alignment horizontal="center"/>
      <protection/>
    </xf>
    <xf numFmtId="165" fontId="18" fillId="0" borderId="0" xfId="63" applyNumberFormat="1" applyFont="1" applyFill="1" applyBorder="1" applyAlignment="1" applyProtection="1">
      <alignment horizontal="center"/>
      <protection/>
    </xf>
    <xf numFmtId="165" fontId="18" fillId="0" borderId="29" xfId="63" applyNumberFormat="1" applyFont="1" applyFill="1" applyBorder="1" applyAlignment="1" applyProtection="1">
      <alignment horizontal="center"/>
      <protection/>
    </xf>
    <xf numFmtId="165" fontId="18" fillId="0" borderId="37" xfId="63" applyNumberFormat="1" applyFont="1" applyFill="1" applyBorder="1" applyAlignment="1" applyProtection="1">
      <alignment horizontal="center" vertical="center"/>
      <protection/>
    </xf>
    <xf numFmtId="165" fontId="18" fillId="0" borderId="41" xfId="63" applyNumberFormat="1" applyFont="1" applyFill="1" applyBorder="1" applyAlignment="1" applyProtection="1">
      <alignment horizontal="center" vertical="center"/>
      <protection/>
    </xf>
    <xf numFmtId="165" fontId="18" fillId="0" borderId="30" xfId="63" applyNumberFormat="1" applyFont="1" applyFill="1" applyBorder="1" applyAlignment="1" applyProtection="1">
      <alignment horizontal="center" vertical="center"/>
      <protection/>
    </xf>
    <xf numFmtId="165" fontId="7" fillId="0" borderId="53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5" fontId="87" fillId="35" borderId="0" xfId="63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165" fontId="18" fillId="0" borderId="53" xfId="63" applyNumberFormat="1" applyFont="1" applyFill="1" applyBorder="1" applyAlignment="1" applyProtection="1">
      <alignment horizontal="center" vertical="center"/>
      <protection/>
    </xf>
    <xf numFmtId="165" fontId="18" fillId="0" borderId="31" xfId="63" applyNumberFormat="1" applyFont="1" applyFill="1" applyBorder="1" applyAlignment="1" applyProtection="1">
      <alignment horizontal="center" vertical="center"/>
      <protection/>
    </xf>
    <xf numFmtId="165" fontId="18" fillId="0" borderId="42" xfId="63" applyNumberFormat="1" applyFont="1" applyFill="1" applyBorder="1" applyAlignment="1" applyProtection="1">
      <alignment horizontal="center" vertical="center"/>
      <protection/>
    </xf>
    <xf numFmtId="165" fontId="23" fillId="35" borderId="42" xfId="0" applyNumberFormat="1" applyFont="1" applyFill="1" applyBorder="1" applyAlignment="1">
      <alignment horizontal="right" vertical="center" wrapText="1"/>
    </xf>
    <xf numFmtId="165" fontId="18" fillId="0" borderId="52" xfId="63" applyNumberFormat="1" applyFont="1" applyFill="1" applyBorder="1" applyAlignment="1" applyProtection="1">
      <alignment horizontal="center" vertical="center"/>
      <protection/>
    </xf>
    <xf numFmtId="165" fontId="23" fillId="0" borderId="54" xfId="63" applyNumberFormat="1" applyFont="1" applyFill="1" applyBorder="1" applyAlignment="1" applyProtection="1">
      <alignment horizontal="center" vertical="center"/>
      <protection/>
    </xf>
    <xf numFmtId="165" fontId="23" fillId="0" borderId="30" xfId="63" applyNumberFormat="1" applyFont="1" applyFill="1" applyBorder="1" applyAlignment="1" applyProtection="1">
      <alignment horizontal="center" vertical="center"/>
      <protection/>
    </xf>
    <xf numFmtId="165" fontId="18" fillId="0" borderId="14" xfId="63" applyNumberFormat="1" applyFont="1" applyFill="1" applyBorder="1" applyAlignment="1" applyProtection="1">
      <alignment horizontal="center" vertical="center"/>
      <protection/>
    </xf>
    <xf numFmtId="165" fontId="18" fillId="0" borderId="23" xfId="63" applyNumberFormat="1" applyFont="1" applyFill="1" applyBorder="1" applyAlignment="1" applyProtection="1">
      <alignment horizontal="center" vertical="center"/>
      <protection/>
    </xf>
    <xf numFmtId="165" fontId="18" fillId="0" borderId="45" xfId="63" applyNumberFormat="1" applyFont="1" applyFill="1" applyBorder="1" applyAlignment="1" applyProtection="1">
      <alignment horizontal="center" vertical="center"/>
      <protection/>
    </xf>
    <xf numFmtId="165" fontId="23" fillId="0" borderId="16" xfId="63" applyNumberFormat="1" applyFont="1" applyFill="1" applyBorder="1" applyAlignment="1" applyProtection="1">
      <alignment horizontal="center" vertical="center" wrapText="1"/>
      <protection/>
    </xf>
    <xf numFmtId="165" fontId="23" fillId="0" borderId="10" xfId="63" applyNumberFormat="1" applyFont="1" applyFill="1" applyBorder="1" applyAlignment="1" applyProtection="1">
      <alignment horizontal="center" vertical="center" wrapText="1"/>
      <protection/>
    </xf>
    <xf numFmtId="165" fontId="23" fillId="0" borderId="67" xfId="63" applyNumberFormat="1" applyFont="1" applyFill="1" applyBorder="1" applyAlignment="1" applyProtection="1">
      <alignment horizontal="center" vertical="center" wrapText="1"/>
      <protection/>
    </xf>
    <xf numFmtId="165" fontId="18" fillId="35" borderId="12" xfId="63" applyNumberFormat="1" applyFont="1" applyFill="1" applyBorder="1" applyAlignment="1" applyProtection="1">
      <alignment horizontal="center" vertical="center" wrapText="1"/>
      <protection/>
    </xf>
    <xf numFmtId="165" fontId="18" fillId="35" borderId="0" xfId="63" applyNumberFormat="1" applyFont="1" applyFill="1" applyBorder="1" applyAlignment="1" applyProtection="1">
      <alignment horizontal="center" vertical="center" wrapText="1"/>
      <protection/>
    </xf>
    <xf numFmtId="165" fontId="18" fillId="35" borderId="29" xfId="63" applyNumberFormat="1" applyFont="1" applyFill="1" applyBorder="1" applyAlignment="1" applyProtection="1">
      <alignment horizontal="center" vertical="center" wrapText="1"/>
      <protection/>
    </xf>
    <xf numFmtId="165" fontId="18" fillId="0" borderId="36" xfId="63" applyNumberFormat="1" applyFont="1" applyFill="1" applyBorder="1" applyAlignment="1" applyProtection="1">
      <alignment horizontal="center" vertical="center"/>
      <protection/>
    </xf>
    <xf numFmtId="165" fontId="18" fillId="0" borderId="51" xfId="63" applyNumberFormat="1" applyFont="1" applyFill="1" applyBorder="1" applyAlignment="1" applyProtection="1">
      <alignment horizontal="center" vertical="center"/>
      <protection/>
    </xf>
    <xf numFmtId="165" fontId="23" fillId="35" borderId="35" xfId="63" applyNumberFormat="1" applyFont="1" applyFill="1" applyBorder="1" applyAlignment="1" applyProtection="1">
      <alignment horizontal="center" vertical="center"/>
      <protection/>
    </xf>
    <xf numFmtId="165" fontId="23" fillId="35" borderId="28" xfId="63" applyNumberFormat="1" applyFont="1" applyFill="1" applyBorder="1" applyAlignment="1" applyProtection="1">
      <alignment horizontal="center" vertical="center"/>
      <protection/>
    </xf>
    <xf numFmtId="165" fontId="26" fillId="35" borderId="53" xfId="0" applyNumberFormat="1" applyFont="1" applyFill="1" applyBorder="1" applyAlignment="1">
      <alignment horizontal="center" vertical="center"/>
    </xf>
    <xf numFmtId="165" fontId="26" fillId="35" borderId="55" xfId="0" applyNumberFormat="1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5" fontId="18" fillId="0" borderId="51" xfId="63" applyNumberFormat="1" applyFont="1" applyFill="1" applyBorder="1" applyAlignment="1" applyProtection="1">
      <alignment horizontal="center" vertical="center" wrapText="1"/>
      <protection/>
    </xf>
    <xf numFmtId="165" fontId="18" fillId="35" borderId="51" xfId="63" applyNumberFormat="1" applyFont="1" applyFill="1" applyBorder="1" applyAlignment="1" applyProtection="1">
      <alignment horizontal="center" vertical="center" wrapText="1"/>
      <protection/>
    </xf>
    <xf numFmtId="165" fontId="18" fillId="0" borderId="54" xfId="63" applyNumberFormat="1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165" fontId="23" fillId="0" borderId="51" xfId="63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>
      <alignment horizontal="center" vertical="center"/>
    </xf>
    <xf numFmtId="165" fontId="2" fillId="0" borderId="53" xfId="63" applyNumberFormat="1" applyFont="1" applyFill="1" applyBorder="1" applyAlignment="1" applyProtection="1">
      <alignment horizontal="center" vertical="top" wrapText="1"/>
      <protection/>
    </xf>
    <xf numFmtId="165" fontId="2" fillId="0" borderId="31" xfId="63" applyNumberFormat="1" applyFont="1" applyFill="1" applyBorder="1" applyAlignment="1" applyProtection="1">
      <alignment horizontal="center" vertical="top" wrapText="1"/>
      <protection/>
    </xf>
    <xf numFmtId="165" fontId="2" fillId="0" borderId="55" xfId="63" applyNumberFormat="1" applyFont="1" applyFill="1" applyBorder="1" applyAlignment="1" applyProtection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165" fontId="23" fillId="0" borderId="51" xfId="63" applyNumberFormat="1" applyFont="1" applyFill="1" applyBorder="1" applyAlignment="1" applyProtection="1">
      <alignment horizontal="center" vertical="center"/>
      <protection/>
    </xf>
    <xf numFmtId="165" fontId="23" fillId="0" borderId="29" xfId="63" applyNumberFormat="1" applyFont="1" applyFill="1" applyBorder="1" applyAlignment="1" applyProtection="1">
      <alignment horizontal="center" vertical="center"/>
      <protection/>
    </xf>
    <xf numFmtId="165" fontId="18" fillId="0" borderId="54" xfId="63" applyNumberFormat="1" applyFont="1" applyFill="1" applyBorder="1" applyAlignment="1" applyProtection="1">
      <alignment horizontal="center" vertical="center" wrapText="1"/>
      <protection/>
    </xf>
    <xf numFmtId="165" fontId="18" fillId="0" borderId="30" xfId="63" applyNumberFormat="1" applyFont="1" applyFill="1" applyBorder="1" applyAlignment="1" applyProtection="1">
      <alignment horizontal="center" vertical="center" wrapText="1"/>
      <protection/>
    </xf>
    <xf numFmtId="165" fontId="23" fillId="35" borderId="53" xfId="63" applyNumberFormat="1" applyFont="1" applyFill="1" applyBorder="1" applyAlignment="1" applyProtection="1">
      <alignment horizontal="center" vertical="center" wrapText="1"/>
      <protection/>
    </xf>
    <xf numFmtId="165" fontId="23" fillId="35" borderId="55" xfId="63" applyNumberFormat="1" applyFont="1" applyFill="1" applyBorder="1" applyAlignment="1" applyProtection="1">
      <alignment horizontal="center" vertical="center" wrapText="1"/>
      <protection/>
    </xf>
    <xf numFmtId="0" fontId="23" fillId="35" borderId="24" xfId="0" applyFont="1" applyFill="1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top" wrapText="1"/>
    </xf>
    <xf numFmtId="165" fontId="23" fillId="0" borderId="35" xfId="63" applyNumberFormat="1" applyFont="1" applyFill="1" applyBorder="1" applyAlignment="1" applyProtection="1">
      <alignment horizontal="center" vertical="center" wrapText="1"/>
      <protection/>
    </xf>
    <xf numFmtId="165" fontId="18" fillId="35" borderId="42" xfId="0" applyNumberFormat="1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65" fontId="23" fillId="35" borderId="51" xfId="63" applyNumberFormat="1" applyFont="1" applyFill="1" applyBorder="1" applyAlignment="1" applyProtection="1">
      <alignment horizontal="center" vertical="center"/>
      <protection/>
    </xf>
    <xf numFmtId="165" fontId="23" fillId="35" borderId="29" xfId="63" applyNumberFormat="1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>
      <alignment horizontal="center" vertical="center"/>
    </xf>
    <xf numFmtId="0" fontId="10" fillId="0" borderId="0" xfId="52" applyNumberFormat="1" applyFont="1" applyBorder="1" applyAlignment="1">
      <alignment horizontal="left" vertical="center" wrapText="1"/>
      <protection/>
    </xf>
    <xf numFmtId="0" fontId="18" fillId="0" borderId="42" xfId="52" applyFont="1" applyFill="1" applyBorder="1" applyAlignment="1">
      <alignment horizontal="left" vertical="center"/>
      <protection/>
    </xf>
    <xf numFmtId="49" fontId="18" fillId="0" borderId="42" xfId="52" applyNumberFormat="1" applyFont="1" applyFill="1" applyBorder="1" applyAlignment="1">
      <alignment horizontal="left" vertical="center"/>
      <protection/>
    </xf>
    <xf numFmtId="0" fontId="23" fillId="35" borderId="35" xfId="52" applyFont="1" applyFill="1" applyBorder="1" applyAlignment="1">
      <alignment horizontal="center" vertical="center"/>
      <protection/>
    </xf>
    <xf numFmtId="0" fontId="23" fillId="35" borderId="28" xfId="52" applyFont="1" applyFill="1" applyBorder="1" applyAlignment="1">
      <alignment horizontal="center" vertical="center"/>
      <protection/>
    </xf>
    <xf numFmtId="0" fontId="23" fillId="35" borderId="51" xfId="52" applyFont="1" applyFill="1" applyBorder="1" applyAlignment="1">
      <alignment horizontal="center" vertical="center"/>
      <protection/>
    </xf>
    <xf numFmtId="0" fontId="23" fillId="35" borderId="29" xfId="52" applyFont="1" applyFill="1" applyBorder="1" applyAlignment="1">
      <alignment horizontal="center" vertical="center"/>
      <protection/>
    </xf>
    <xf numFmtId="0" fontId="23" fillId="35" borderId="54" xfId="52" applyFont="1" applyFill="1" applyBorder="1" applyAlignment="1">
      <alignment horizontal="center" vertical="center"/>
      <protection/>
    </xf>
    <xf numFmtId="0" fontId="23" fillId="35" borderId="30" xfId="52" applyFont="1" applyFill="1" applyBorder="1" applyAlignment="1">
      <alignment horizontal="center" vertical="center"/>
      <protection/>
    </xf>
    <xf numFmtId="0" fontId="23" fillId="35" borderId="63" xfId="52" applyFont="1" applyFill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 wrapText="1"/>
      <protection/>
    </xf>
    <xf numFmtId="0" fontId="23" fillId="35" borderId="52" xfId="52" applyFont="1" applyFill="1" applyBorder="1" applyAlignment="1">
      <alignment horizontal="center" vertical="center" wrapText="1"/>
      <protection/>
    </xf>
    <xf numFmtId="2" fontId="13" fillId="0" borderId="42" xfId="52" applyNumberFormat="1" applyFont="1" applyFill="1" applyBorder="1" applyAlignment="1">
      <alignment horizontal="center"/>
      <protection/>
    </xf>
    <xf numFmtId="2" fontId="23" fillId="0" borderId="52" xfId="52" applyNumberFormat="1" applyFont="1" applyFill="1" applyBorder="1" applyAlignment="1">
      <alignment horizontal="center" vertical="center" wrapText="1"/>
      <protection/>
    </xf>
    <xf numFmtId="2" fontId="23" fillId="35" borderId="52" xfId="52" applyNumberFormat="1" applyFont="1" applyFill="1" applyBorder="1" applyAlignment="1">
      <alignment horizontal="center" vertical="center" wrapText="1"/>
      <protection/>
    </xf>
    <xf numFmtId="0" fontId="13" fillId="0" borderId="53" xfId="52" applyFont="1" applyFill="1" applyBorder="1" applyAlignment="1">
      <alignment horizontal="center"/>
      <protection/>
    </xf>
    <xf numFmtId="0" fontId="13" fillId="0" borderId="55" xfId="52" applyFont="1" applyFill="1" applyBorder="1" applyAlignment="1">
      <alignment horizontal="center"/>
      <protection/>
    </xf>
    <xf numFmtId="2" fontId="13" fillId="0" borderId="53" xfId="52" applyNumberFormat="1" applyFont="1" applyFill="1" applyBorder="1" applyAlignment="1">
      <alignment horizontal="center"/>
      <protection/>
    </xf>
    <xf numFmtId="2" fontId="13" fillId="0" borderId="55" xfId="52" applyNumberFormat="1" applyFont="1" applyFill="1" applyBorder="1" applyAlignment="1">
      <alignment horizontal="center"/>
      <protection/>
    </xf>
    <xf numFmtId="10" fontId="23" fillId="0" borderId="42" xfId="55" applyNumberFormat="1" applyFont="1" applyFill="1" applyBorder="1" applyAlignment="1">
      <alignment horizontal="right" vertical="center"/>
    </xf>
    <xf numFmtId="10" fontId="18" fillId="0" borderId="42" xfId="55" applyNumberFormat="1" applyFont="1" applyFill="1" applyBorder="1" applyAlignment="1">
      <alignment horizontal="right" vertical="center"/>
    </xf>
    <xf numFmtId="0" fontId="19" fillId="0" borderId="0" xfId="52" applyFont="1" applyFill="1" applyAlignment="1">
      <alignment horizontal="left" indent="7"/>
      <protection/>
    </xf>
    <xf numFmtId="0" fontId="23" fillId="35" borderId="90" xfId="52" applyFont="1" applyFill="1" applyBorder="1" applyAlignment="1">
      <alignment horizontal="left" vertical="center" wrapText="1"/>
      <protection/>
    </xf>
    <xf numFmtId="0" fontId="23" fillId="35" borderId="91" xfId="52" applyFont="1" applyFill="1" applyBorder="1" applyAlignment="1">
      <alignment horizontal="left" vertical="center" wrapText="1"/>
      <protection/>
    </xf>
    <xf numFmtId="0" fontId="23" fillId="0" borderId="31" xfId="52" applyFont="1" applyFill="1" applyBorder="1" applyAlignment="1">
      <alignment horizontal="left" vertical="center"/>
      <protection/>
    </xf>
    <xf numFmtId="164" fontId="18" fillId="0" borderId="42" xfId="52" applyNumberFormat="1" applyFont="1" applyFill="1" applyBorder="1" applyAlignment="1">
      <alignment horizontal="center" vertical="center"/>
      <protection/>
    </xf>
    <xf numFmtId="165" fontId="0" fillId="0" borderId="42" xfId="59" applyFont="1" applyBorder="1" applyAlignment="1">
      <alignment horizontal="center"/>
    </xf>
    <xf numFmtId="0" fontId="23" fillId="0" borderId="42" xfId="52" applyFont="1" applyFill="1" applyBorder="1" applyAlignment="1">
      <alignment horizontal="left" vertical="center" wrapText="1"/>
      <protection/>
    </xf>
    <xf numFmtId="0" fontId="18" fillId="0" borderId="53" xfId="52" applyFont="1" applyFill="1" applyBorder="1" applyAlignment="1">
      <alignment horizontal="left" vertical="center" wrapText="1"/>
      <protection/>
    </xf>
    <xf numFmtId="0" fontId="18" fillId="0" borderId="55" xfId="52" applyFont="1" applyFill="1" applyBorder="1" applyAlignment="1">
      <alignment horizontal="left" vertical="center" wrapText="1"/>
      <protection/>
    </xf>
    <xf numFmtId="0" fontId="23" fillId="35" borderId="54" xfId="52" applyFont="1" applyFill="1" applyBorder="1" applyAlignment="1">
      <alignment horizontal="left" vertical="center" wrapText="1"/>
      <protection/>
    </xf>
    <xf numFmtId="0" fontId="23" fillId="35" borderId="41" xfId="52" applyFont="1" applyFill="1" applyBorder="1" applyAlignment="1">
      <alignment horizontal="left" vertical="center" wrapText="1"/>
      <protection/>
    </xf>
    <xf numFmtId="0" fontId="23" fillId="35" borderId="30" xfId="52" applyFont="1" applyFill="1" applyBorder="1" applyAlignment="1">
      <alignment horizontal="left" vertical="center" wrapText="1"/>
      <protection/>
    </xf>
    <xf numFmtId="49" fontId="23" fillId="35" borderId="53" xfId="52" applyNumberFormat="1" applyFont="1" applyFill="1" applyBorder="1" applyAlignment="1">
      <alignment horizontal="left" vertical="center" wrapText="1"/>
      <protection/>
    </xf>
    <xf numFmtId="49" fontId="23" fillId="35" borderId="55" xfId="52" applyNumberFormat="1" applyFont="1" applyFill="1" applyBorder="1" applyAlignment="1">
      <alignment horizontal="left" vertical="center" wrapText="1"/>
      <protection/>
    </xf>
    <xf numFmtId="0" fontId="23" fillId="35" borderId="53" xfId="52" applyFont="1" applyFill="1" applyBorder="1" applyAlignment="1">
      <alignment horizontal="center" vertical="center"/>
      <protection/>
    </xf>
    <xf numFmtId="0" fontId="23" fillId="35" borderId="55" xfId="52" applyFont="1" applyFill="1" applyBorder="1" applyAlignment="1">
      <alignment horizontal="center" vertical="center"/>
      <protection/>
    </xf>
    <xf numFmtId="0" fontId="23" fillId="0" borderId="53" xfId="52" applyFont="1" applyFill="1" applyBorder="1" applyAlignment="1">
      <alignment horizontal="center" vertical="center" wrapText="1"/>
      <protection/>
    </xf>
    <xf numFmtId="0" fontId="23" fillId="0" borderId="31" xfId="52" applyFont="1" applyFill="1" applyBorder="1" applyAlignment="1">
      <alignment horizontal="center" vertical="center" wrapText="1"/>
      <protection/>
    </xf>
    <xf numFmtId="0" fontId="23" fillId="0" borderId="55" xfId="52" applyFont="1" applyFill="1" applyBorder="1" applyAlignment="1">
      <alignment horizontal="center" vertical="center" wrapText="1"/>
      <protection/>
    </xf>
    <xf numFmtId="0" fontId="23" fillId="0" borderId="42" xfId="48" applyFont="1" applyBorder="1" applyAlignment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6" fillId="0" borderId="0" xfId="52" applyFont="1" applyFill="1" applyBorder="1" applyAlignment="1">
      <alignment horizontal="left"/>
      <protection/>
    </xf>
    <xf numFmtId="164" fontId="18" fillId="0" borderId="53" xfId="52" applyNumberFormat="1" applyFont="1" applyFill="1" applyBorder="1" applyAlignment="1">
      <alignment horizontal="center" vertical="center"/>
      <protection/>
    </xf>
    <xf numFmtId="164" fontId="18" fillId="0" borderId="55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49" fontId="23" fillId="0" borderId="42" xfId="52" applyNumberFormat="1" applyFont="1" applyFill="1" applyBorder="1" applyAlignment="1">
      <alignment horizontal="center" vertical="center" wrapText="1"/>
      <protection/>
    </xf>
    <xf numFmtId="0" fontId="23" fillId="0" borderId="52" xfId="52" applyFont="1" applyFill="1" applyBorder="1" applyAlignment="1">
      <alignment horizontal="center" vertical="center"/>
      <protection/>
    </xf>
    <xf numFmtId="2" fontId="7" fillId="0" borderId="53" xfId="48" applyNumberFormat="1" applyFont="1" applyBorder="1" applyAlignment="1">
      <alignment horizontal="center" vertical="center"/>
      <protection/>
    </xf>
    <xf numFmtId="2" fontId="7" fillId="0" borderId="55" xfId="48" applyNumberFormat="1" applyFont="1" applyBorder="1" applyAlignment="1">
      <alignment horizontal="center" vertical="center"/>
      <protection/>
    </xf>
    <xf numFmtId="164" fontId="23" fillId="0" borderId="53" xfId="52" applyNumberFormat="1" applyFont="1" applyFill="1" applyBorder="1" applyAlignment="1">
      <alignment horizontal="center" vertical="center"/>
      <protection/>
    </xf>
    <xf numFmtId="164" fontId="23" fillId="0" borderId="55" xfId="52" applyNumberFormat="1" applyFont="1" applyFill="1" applyBorder="1" applyAlignment="1">
      <alignment horizontal="center" vertical="center"/>
      <protection/>
    </xf>
    <xf numFmtId="0" fontId="37" fillId="35" borderId="53" xfId="52" applyFont="1" applyFill="1" applyBorder="1" applyAlignment="1">
      <alignment horizontal="center" vertical="center" wrapText="1"/>
      <protection/>
    </xf>
    <xf numFmtId="0" fontId="37" fillId="35" borderId="55" xfId="52" applyFont="1" applyFill="1" applyBorder="1" applyAlignment="1">
      <alignment horizontal="center" vertical="center" wrapText="1"/>
      <protection/>
    </xf>
    <xf numFmtId="0" fontId="37" fillId="35" borderId="42" xfId="52" applyFont="1" applyFill="1" applyBorder="1" applyAlignment="1">
      <alignment horizontal="center" vertical="center" wrapText="1"/>
      <protection/>
    </xf>
    <xf numFmtId="0" fontId="23" fillId="35" borderId="34" xfId="52" applyFont="1" applyFill="1" applyBorder="1" applyAlignment="1">
      <alignment horizontal="center" vertical="center" wrapText="1"/>
      <protection/>
    </xf>
    <xf numFmtId="0" fontId="23" fillId="35" borderId="28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9" xfId="52" applyFont="1" applyFill="1" applyBorder="1" applyAlignment="1">
      <alignment horizontal="center" vertical="center" wrapText="1"/>
      <protection/>
    </xf>
    <xf numFmtId="0" fontId="23" fillId="35" borderId="41" xfId="52" applyFont="1" applyFill="1" applyBorder="1" applyAlignment="1">
      <alignment horizontal="center" vertical="center" wrapText="1"/>
      <protection/>
    </xf>
    <xf numFmtId="0" fontId="23" fillId="35" borderId="30" xfId="52" applyFont="1" applyFill="1" applyBorder="1" applyAlignment="1">
      <alignment horizontal="center" vertical="center" wrapText="1"/>
      <protection/>
    </xf>
    <xf numFmtId="0" fontId="23" fillId="35" borderId="51" xfId="52" applyFont="1" applyFill="1" applyBorder="1" applyAlignment="1">
      <alignment horizontal="center" vertical="center" wrapText="1"/>
      <protection/>
    </xf>
    <xf numFmtId="0" fontId="18" fillId="0" borderId="53" xfId="52" applyFont="1" applyFill="1" applyBorder="1" applyAlignment="1">
      <alignment horizontal="left" vertical="center"/>
      <protection/>
    </xf>
    <xf numFmtId="0" fontId="18" fillId="0" borderId="55" xfId="52" applyFont="1" applyFill="1" applyBorder="1" applyAlignment="1">
      <alignment horizontal="left" vertical="center"/>
      <protection/>
    </xf>
    <xf numFmtId="0" fontId="23" fillId="0" borderId="53" xfId="52" applyFont="1" applyFill="1" applyBorder="1" applyAlignment="1">
      <alignment horizontal="left" vertical="center"/>
      <protection/>
    </xf>
    <xf numFmtId="0" fontId="0" fillId="0" borderId="55" xfId="48" applyBorder="1">
      <alignment/>
      <protection/>
    </xf>
    <xf numFmtId="0" fontId="23" fillId="0" borderId="53" xfId="52" applyFont="1" applyFill="1" applyBorder="1" applyAlignment="1">
      <alignment horizontal="left" vertical="center" wrapText="1"/>
      <protection/>
    </xf>
    <xf numFmtId="0" fontId="23" fillId="0" borderId="55" xfId="52" applyFont="1" applyFill="1" applyBorder="1" applyAlignment="1">
      <alignment horizontal="left" vertical="center" wrapText="1"/>
      <protection/>
    </xf>
    <xf numFmtId="49" fontId="23" fillId="0" borderId="53" xfId="52" applyNumberFormat="1" applyFont="1" applyFill="1" applyBorder="1" applyAlignment="1">
      <alignment horizontal="left"/>
      <protection/>
    </xf>
    <xf numFmtId="49" fontId="23" fillId="0" borderId="55" xfId="52" applyNumberFormat="1" applyFont="1" applyFill="1" applyBorder="1" applyAlignment="1">
      <alignment horizontal="left"/>
      <protection/>
    </xf>
    <xf numFmtId="4" fontId="18" fillId="0" borderId="53" xfId="52" applyNumberFormat="1" applyFont="1" applyFill="1" applyBorder="1" applyAlignment="1">
      <alignment horizontal="right" vertical="center"/>
      <protection/>
    </xf>
    <xf numFmtId="4" fontId="18" fillId="0" borderId="55" xfId="52" applyNumberFormat="1" applyFont="1" applyFill="1" applyBorder="1" applyAlignment="1">
      <alignment horizontal="right" vertical="center"/>
      <protection/>
    </xf>
    <xf numFmtId="4" fontId="23" fillId="0" borderId="53" xfId="52" applyNumberFormat="1" applyFont="1" applyFill="1" applyBorder="1" applyAlignment="1">
      <alignment horizontal="right" vertical="center"/>
      <protection/>
    </xf>
    <xf numFmtId="4" fontId="23" fillId="0" borderId="55" xfId="52" applyNumberFormat="1" applyFont="1" applyFill="1" applyBorder="1" applyAlignment="1">
      <alignment horizontal="right" vertical="center"/>
      <protection/>
    </xf>
    <xf numFmtId="0" fontId="23" fillId="0" borderId="55" xfId="52" applyFont="1" applyFill="1" applyBorder="1" applyAlignment="1">
      <alignment horizontal="left" vertical="center"/>
      <protection/>
    </xf>
    <xf numFmtId="2" fontId="13" fillId="0" borderId="0" xfId="52" applyNumberFormat="1" applyFont="1" applyFill="1" applyBorder="1" applyAlignment="1">
      <alignment horizontal="left" vertical="center"/>
      <protection/>
    </xf>
    <xf numFmtId="49" fontId="23" fillId="0" borderId="42" xfId="52" applyNumberFormat="1" applyFont="1" applyFill="1" applyBorder="1" applyAlignment="1">
      <alignment horizontal="left" vertical="center"/>
      <protection/>
    </xf>
    <xf numFmtId="0" fontId="13" fillId="0" borderId="42" xfId="52" applyFont="1" applyFill="1" applyBorder="1" applyAlignment="1">
      <alignment horizontal="center"/>
      <protection/>
    </xf>
    <xf numFmtId="4" fontId="23" fillId="35" borderId="54" xfId="52" applyNumberFormat="1" applyFont="1" applyFill="1" applyBorder="1" applyAlignment="1">
      <alignment horizontal="center" vertical="center" wrapText="1"/>
      <protection/>
    </xf>
    <xf numFmtId="4" fontId="23" fillId="35" borderId="30" xfId="52" applyNumberFormat="1" applyFont="1" applyFill="1" applyBorder="1" applyAlignment="1">
      <alignment horizontal="center" vertical="center" wrapText="1"/>
      <protection/>
    </xf>
    <xf numFmtId="0" fontId="23" fillId="35" borderId="54" xfId="52" applyFont="1" applyFill="1" applyBorder="1" applyAlignment="1">
      <alignment horizontal="center" vertical="center" wrapText="1"/>
      <protection/>
    </xf>
    <xf numFmtId="0" fontId="23" fillId="35" borderId="31" xfId="52" applyFont="1" applyFill="1" applyBorder="1" applyAlignment="1">
      <alignment horizontal="center" vertical="center"/>
      <protection/>
    </xf>
    <xf numFmtId="0" fontId="23" fillId="35" borderId="34" xfId="52" applyFont="1" applyFill="1" applyBorder="1" applyAlignment="1">
      <alignment horizontal="center" vertical="center"/>
      <protection/>
    </xf>
    <xf numFmtId="0" fontId="23" fillId="35" borderId="41" xfId="52" applyFont="1" applyFill="1" applyBorder="1" applyAlignment="1">
      <alignment horizontal="center" vertical="center"/>
      <protection/>
    </xf>
    <xf numFmtId="165" fontId="0" fillId="0" borderId="42" xfId="59" applyFont="1" applyFill="1" applyBorder="1" applyAlignment="1">
      <alignment horizontal="center"/>
    </xf>
    <xf numFmtId="0" fontId="24" fillId="35" borderId="42" xfId="52" applyFont="1" applyFill="1" applyBorder="1" applyAlignment="1">
      <alignment horizontal="center" vertical="center" wrapText="1"/>
      <protection/>
    </xf>
    <xf numFmtId="0" fontId="24" fillId="35" borderId="34" xfId="52" applyFont="1" applyFill="1" applyBorder="1" applyAlignment="1">
      <alignment horizontal="center" vertical="center" wrapText="1"/>
      <protection/>
    </xf>
    <xf numFmtId="0" fontId="24" fillId="35" borderId="28" xfId="52" applyFont="1" applyFill="1" applyBorder="1" applyAlignment="1">
      <alignment horizontal="center" vertical="center" wrapText="1"/>
      <protection/>
    </xf>
    <xf numFmtId="0" fontId="24" fillId="35" borderId="0" xfId="52" applyFont="1" applyFill="1" applyBorder="1" applyAlignment="1">
      <alignment horizontal="center" vertical="center" wrapText="1"/>
      <protection/>
    </xf>
    <xf numFmtId="0" fontId="24" fillId="35" borderId="29" xfId="52" applyFont="1" applyFill="1" applyBorder="1" applyAlignment="1">
      <alignment horizontal="center" vertical="center" wrapText="1"/>
      <protection/>
    </xf>
    <xf numFmtId="0" fontId="24" fillId="35" borderId="41" xfId="52" applyFont="1" applyFill="1" applyBorder="1" applyAlignment="1">
      <alignment horizontal="center" vertical="center" wrapText="1"/>
      <protection/>
    </xf>
    <xf numFmtId="0" fontId="24" fillId="35" borderId="30" xfId="52" applyFont="1" applyFill="1" applyBorder="1" applyAlignment="1">
      <alignment horizontal="center" vertical="center" wrapText="1"/>
      <protection/>
    </xf>
    <xf numFmtId="0" fontId="23" fillId="0" borderId="42" xfId="52" applyFont="1" applyFill="1" applyBorder="1" applyAlignment="1">
      <alignment vertical="center"/>
      <protection/>
    </xf>
    <xf numFmtId="2" fontId="13" fillId="0" borderId="0" xfId="48" applyNumberFormat="1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 horizontal="center"/>
      <protection/>
    </xf>
    <xf numFmtId="165" fontId="0" fillId="0" borderId="53" xfId="59" applyFont="1" applyFill="1" applyBorder="1" applyAlignment="1">
      <alignment horizontal="center" vertical="center"/>
    </xf>
    <xf numFmtId="165" fontId="0" fillId="0" borderId="55" xfId="59" applyFont="1" applyFill="1" applyBorder="1" applyAlignment="1">
      <alignment horizontal="center" vertical="center"/>
    </xf>
    <xf numFmtId="165" fontId="7" fillId="0" borderId="53" xfId="59" applyFont="1" applyFill="1" applyBorder="1" applyAlignment="1">
      <alignment horizontal="right" vertical="center"/>
    </xf>
    <xf numFmtId="165" fontId="7" fillId="0" borderId="55" xfId="59" applyFont="1" applyFill="1" applyBorder="1" applyAlignment="1">
      <alignment horizontal="right" vertical="center"/>
    </xf>
    <xf numFmtId="0" fontId="18" fillId="0" borderId="42" xfId="52" applyFont="1" applyFill="1" applyBorder="1" applyAlignment="1">
      <alignment horizontal="left" vertical="center" wrapText="1"/>
      <protection/>
    </xf>
    <xf numFmtId="0" fontId="23" fillId="0" borderId="53" xfId="52" applyFont="1" applyFill="1" applyBorder="1" applyAlignment="1">
      <alignment vertical="center" wrapText="1"/>
      <protection/>
    </xf>
    <xf numFmtId="0" fontId="23" fillId="0" borderId="55" xfId="52" applyFont="1" applyFill="1" applyBorder="1" applyAlignment="1">
      <alignment vertical="center" wrapText="1"/>
      <protection/>
    </xf>
    <xf numFmtId="4" fontId="23" fillId="35" borderId="63" xfId="52" applyNumberFormat="1" applyFont="1" applyFill="1" applyBorder="1" applyAlignment="1">
      <alignment horizontal="center" vertical="center" wrapText="1"/>
      <protection/>
    </xf>
    <xf numFmtId="4" fontId="23" fillId="35" borderId="52" xfId="52" applyNumberFormat="1" applyFont="1" applyFill="1" applyBorder="1" applyAlignment="1">
      <alignment horizontal="center" vertical="center" wrapText="1"/>
      <protection/>
    </xf>
    <xf numFmtId="0" fontId="23" fillId="0" borderId="42" xfId="52" applyFont="1" applyFill="1" applyBorder="1" applyAlignment="1">
      <alignment horizontal="left" vertical="center"/>
      <protection/>
    </xf>
    <xf numFmtId="0" fontId="24" fillId="0" borderId="55" xfId="52" applyFont="1" applyFill="1" applyBorder="1" applyAlignment="1">
      <alignment horizontal="left" vertical="center" wrapText="1"/>
      <protection/>
    </xf>
    <xf numFmtId="0" fontId="23" fillId="35" borderId="35" xfId="52" applyFont="1" applyFill="1" applyBorder="1" applyAlignment="1">
      <alignment horizontal="center" vertical="center" wrapText="1"/>
      <protection/>
    </xf>
    <xf numFmtId="0" fontId="23" fillId="35" borderId="53" xfId="52" applyFont="1" applyFill="1" applyBorder="1" applyAlignment="1">
      <alignment horizontal="center" vertical="center" wrapText="1"/>
      <protection/>
    </xf>
    <xf numFmtId="0" fontId="23" fillId="35" borderId="55" xfId="52" applyFont="1" applyFill="1" applyBorder="1" applyAlignment="1">
      <alignment horizontal="center" vertical="center" wrapText="1"/>
      <protection/>
    </xf>
    <xf numFmtId="0" fontId="10" fillId="0" borderId="0" xfId="52" applyNumberFormat="1" applyFont="1" applyFill="1" applyBorder="1" applyAlignment="1">
      <alignment horizontal="left" vertical="top" wrapText="1"/>
      <protection/>
    </xf>
    <xf numFmtId="165" fontId="0" fillId="0" borderId="53" xfId="59" applyFont="1" applyFill="1" applyBorder="1" applyAlignment="1">
      <alignment horizontal="center"/>
    </xf>
    <xf numFmtId="165" fontId="0" fillId="0" borderId="55" xfId="59" applyFont="1" applyFill="1" applyBorder="1" applyAlignment="1">
      <alignment horizontal="center"/>
    </xf>
    <xf numFmtId="0" fontId="91" fillId="0" borderId="0" xfId="48" applyFont="1" applyAlignment="1">
      <alignment horizontal="center" readingOrder="2"/>
      <protection/>
    </xf>
    <xf numFmtId="0" fontId="10" fillId="0" borderId="0" xfId="52" applyNumberFormat="1" applyFont="1" applyFill="1" applyBorder="1" applyAlignment="1">
      <alignment vertical="top" wrapText="1"/>
      <protection/>
    </xf>
    <xf numFmtId="2" fontId="19" fillId="0" borderId="0" xfId="48" applyNumberFormat="1" applyFont="1" applyFill="1" applyBorder="1" applyAlignment="1">
      <alignment horizontal="left"/>
      <protection/>
    </xf>
    <xf numFmtId="0" fontId="90" fillId="0" borderId="0" xfId="48" applyFont="1" applyAlignment="1">
      <alignment horizontal="center" readingOrder="2"/>
      <protection/>
    </xf>
    <xf numFmtId="49" fontId="23" fillId="35" borderId="42" xfId="52" applyNumberFormat="1" applyFont="1" applyFill="1" applyBorder="1" applyAlignment="1">
      <alignment horizontal="center" vertical="center" wrapText="1"/>
      <protection/>
    </xf>
    <xf numFmtId="0" fontId="23" fillId="35" borderId="52" xfId="52" applyFont="1" applyFill="1" applyBorder="1" applyAlignment="1">
      <alignment horizontal="center" vertical="center"/>
      <protection/>
    </xf>
    <xf numFmtId="0" fontId="23" fillId="35" borderId="42" xfId="48" applyFont="1" applyFill="1" applyBorder="1" applyAlignment="1">
      <alignment horizontal="center" vertical="center" wrapText="1"/>
      <protection/>
    </xf>
    <xf numFmtId="0" fontId="23" fillId="35" borderId="31" xfId="52" applyFont="1" applyFill="1" applyBorder="1" applyAlignment="1">
      <alignment horizontal="center" vertical="center" wrapText="1"/>
      <protection/>
    </xf>
    <xf numFmtId="4" fontId="23" fillId="35" borderId="53" xfId="52" applyNumberFormat="1" applyFont="1" applyFill="1" applyBorder="1" applyAlignment="1">
      <alignment horizontal="center" vertical="center"/>
      <protection/>
    </xf>
    <xf numFmtId="4" fontId="23" fillId="35" borderId="31" xfId="52" applyNumberFormat="1" applyFont="1" applyFill="1" applyBorder="1" applyAlignment="1">
      <alignment horizontal="center" vertical="center"/>
      <protection/>
    </xf>
    <xf numFmtId="4" fontId="23" fillId="35" borderId="55" xfId="52" applyNumberFormat="1" applyFont="1" applyFill="1" applyBorder="1" applyAlignment="1">
      <alignment horizontal="center" vertical="center"/>
      <protection/>
    </xf>
    <xf numFmtId="10" fontId="23" fillId="35" borderId="53" xfId="55" applyNumberFormat="1" applyFont="1" applyFill="1" applyBorder="1" applyAlignment="1">
      <alignment horizontal="center" vertical="center" wrapText="1"/>
    </xf>
    <xf numFmtId="10" fontId="23" fillId="35" borderId="31" xfId="55" applyNumberFormat="1" applyFont="1" applyFill="1" applyBorder="1" applyAlignment="1">
      <alignment horizontal="center" vertical="center" wrapText="1"/>
    </xf>
    <xf numFmtId="10" fontId="23" fillId="35" borderId="55" xfId="55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/>
    </xf>
    <xf numFmtId="0" fontId="19" fillId="0" borderId="34" xfId="50" applyFont="1" applyFill="1" applyBorder="1" applyAlignment="1">
      <alignment horizontal="center" vertical="center"/>
      <protection/>
    </xf>
    <xf numFmtId="0" fontId="19" fillId="0" borderId="28" xfId="50" applyFont="1" applyFill="1" applyBorder="1" applyAlignment="1">
      <alignment horizontal="center" vertical="center"/>
      <protection/>
    </xf>
    <xf numFmtId="0" fontId="19" fillId="0" borderId="41" xfId="50" applyFont="1" applyFill="1" applyBorder="1" applyAlignment="1">
      <alignment horizontal="center" vertical="center"/>
      <protection/>
    </xf>
    <xf numFmtId="0" fontId="19" fillId="0" borderId="30" xfId="50" applyFont="1" applyFill="1" applyBorder="1" applyAlignment="1">
      <alignment horizontal="center" vertical="center"/>
      <protection/>
    </xf>
    <xf numFmtId="0" fontId="19" fillId="0" borderId="35" xfId="50" applyFont="1" applyFill="1" applyBorder="1" applyAlignment="1">
      <alignment horizontal="center" vertical="center" wrapText="1"/>
      <protection/>
    </xf>
    <xf numFmtId="0" fontId="19" fillId="0" borderId="28" xfId="50" applyFont="1" applyFill="1" applyBorder="1" applyAlignment="1">
      <alignment horizontal="center" vertical="center" wrapText="1"/>
      <protection/>
    </xf>
    <xf numFmtId="0" fontId="19" fillId="0" borderId="54" xfId="50" applyFont="1" applyFill="1" applyBorder="1" applyAlignment="1">
      <alignment horizontal="center" vertical="center" wrapText="1"/>
      <protection/>
    </xf>
    <xf numFmtId="0" fontId="19" fillId="0" borderId="30" xfId="50" applyFont="1" applyFill="1" applyBorder="1" applyAlignment="1">
      <alignment horizontal="center" vertical="center" wrapText="1"/>
      <protection/>
    </xf>
    <xf numFmtId="0" fontId="19" fillId="0" borderId="42" xfId="50" applyFont="1" applyFill="1" applyBorder="1" applyAlignment="1">
      <alignment horizontal="center" vertical="center"/>
      <protection/>
    </xf>
    <xf numFmtId="0" fontId="18" fillId="0" borderId="35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 wrapText="1"/>
      <protection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54" xfId="50" applyFont="1" applyBorder="1" applyAlignment="1">
      <alignment horizontal="center" vertical="center" wrapText="1"/>
      <protection/>
    </xf>
    <xf numFmtId="0" fontId="18" fillId="0" borderId="41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166" fontId="19" fillId="0" borderId="42" xfId="50" applyNumberFormat="1" applyFont="1" applyFill="1" applyBorder="1" applyAlignment="1">
      <alignment horizontal="center" vertical="center"/>
      <protection/>
    </xf>
    <xf numFmtId="166" fontId="19" fillId="0" borderId="42" xfId="50" applyNumberFormat="1" applyFont="1" applyFill="1" applyBorder="1" applyAlignment="1">
      <alignment horizontal="center" vertical="center" wrapText="1"/>
      <protection/>
    </xf>
    <xf numFmtId="0" fontId="19" fillId="0" borderId="34" xfId="50" applyFont="1" applyFill="1" applyBorder="1" applyAlignment="1">
      <alignment horizontal="left" vertical="center"/>
      <protection/>
    </xf>
    <xf numFmtId="165" fontId="19" fillId="0" borderId="35" xfId="50" applyNumberFormat="1" applyFont="1" applyFill="1" applyBorder="1" applyAlignment="1">
      <alignment horizontal="center" vertical="center"/>
      <protection/>
    </xf>
    <xf numFmtId="165" fontId="19" fillId="0" borderId="28" xfId="50" applyNumberFormat="1" applyFont="1" applyFill="1" applyBorder="1" applyAlignment="1">
      <alignment horizontal="center" vertical="center"/>
      <protection/>
    </xf>
    <xf numFmtId="165" fontId="19" fillId="0" borderId="34" xfId="50" applyNumberFormat="1" applyFont="1" applyFill="1" applyBorder="1" applyAlignment="1">
      <alignment horizontal="center" vertical="center"/>
      <protection/>
    </xf>
    <xf numFmtId="165" fontId="18" fillId="0" borderId="35" xfId="50" applyNumberFormat="1" applyFont="1" applyBorder="1" applyAlignment="1">
      <alignment horizontal="center" vertical="center"/>
      <protection/>
    </xf>
    <xf numFmtId="165" fontId="18" fillId="0" borderId="34" xfId="50" applyNumberFormat="1" applyFont="1" applyBorder="1" applyAlignment="1">
      <alignment horizontal="center" vertical="center"/>
      <protection/>
    </xf>
    <xf numFmtId="165" fontId="18" fillId="0" borderId="28" xfId="50" applyNumberFormat="1" applyFont="1" applyBorder="1" applyAlignment="1">
      <alignment horizontal="center" vertical="center"/>
      <protection/>
    </xf>
    <xf numFmtId="0" fontId="19" fillId="0" borderId="0" xfId="50" applyFont="1" applyFill="1" applyAlignment="1">
      <alignment horizontal="left" vertical="center"/>
      <protection/>
    </xf>
    <xf numFmtId="0" fontId="19" fillId="0" borderId="51" xfId="50" applyFont="1" applyFill="1" applyBorder="1" applyAlignment="1">
      <alignment horizontal="center" vertical="center"/>
      <protection/>
    </xf>
    <xf numFmtId="0" fontId="19" fillId="0" borderId="29" xfId="50" applyFont="1" applyFill="1" applyBorder="1" applyAlignment="1">
      <alignment horizontal="center" vertical="center"/>
      <protection/>
    </xf>
    <xf numFmtId="166" fontId="19" fillId="0" borderId="51" xfId="50" applyNumberFormat="1" applyFont="1" applyFill="1" applyBorder="1" applyAlignment="1">
      <alignment horizontal="center" vertical="center"/>
      <protection/>
    </xf>
    <xf numFmtId="166" fontId="19" fillId="0" borderId="0" xfId="50" applyNumberFormat="1" applyFont="1" applyFill="1" applyBorder="1" applyAlignment="1">
      <alignment horizontal="center" vertical="center"/>
      <protection/>
    </xf>
    <xf numFmtId="166" fontId="19" fillId="0" borderId="29" xfId="50" applyNumberFormat="1" applyFont="1" applyFill="1" applyBorder="1" applyAlignment="1">
      <alignment horizontal="center" vertical="center"/>
      <protection/>
    </xf>
    <xf numFmtId="0" fontId="18" fillId="0" borderId="51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165" fontId="18" fillId="0" borderId="51" xfId="50" applyNumberFormat="1" applyFont="1" applyBorder="1" applyAlignment="1">
      <alignment horizontal="center" vertical="center"/>
      <protection/>
    </xf>
    <xf numFmtId="165" fontId="18" fillId="0" borderId="0" xfId="50" applyNumberFormat="1" applyFont="1" applyBorder="1" applyAlignment="1">
      <alignment horizontal="center" vertical="center"/>
      <protection/>
    </xf>
    <xf numFmtId="165" fontId="18" fillId="0" borderId="29" xfId="50" applyNumberFormat="1" applyFont="1" applyBorder="1" applyAlignment="1">
      <alignment horizontal="center" vertical="center"/>
      <protection/>
    </xf>
    <xf numFmtId="0" fontId="19" fillId="0" borderId="41" xfId="50" applyFont="1" applyFill="1" applyBorder="1" applyAlignment="1">
      <alignment horizontal="left" vertical="center"/>
      <protection/>
    </xf>
    <xf numFmtId="0" fontId="19" fillId="0" borderId="54" xfId="50" applyFont="1" applyFill="1" applyBorder="1" applyAlignment="1">
      <alignment horizontal="center" vertical="center"/>
      <protection/>
    </xf>
    <xf numFmtId="166" fontId="19" fillId="0" borderId="54" xfId="50" applyNumberFormat="1" applyFont="1" applyFill="1" applyBorder="1" applyAlignment="1">
      <alignment horizontal="center" vertical="center"/>
      <protection/>
    </xf>
    <xf numFmtId="166" fontId="19" fillId="0" borderId="41" xfId="50" applyNumberFormat="1" applyFont="1" applyFill="1" applyBorder="1" applyAlignment="1">
      <alignment horizontal="center" vertical="center"/>
      <protection/>
    </xf>
    <xf numFmtId="166" fontId="19" fillId="0" borderId="30" xfId="50" applyNumberFormat="1" applyFont="1" applyFill="1" applyBorder="1" applyAlignment="1">
      <alignment horizontal="center" vertical="center"/>
      <protection/>
    </xf>
    <xf numFmtId="0" fontId="18" fillId="0" borderId="54" xfId="50" applyFont="1" applyBorder="1" applyAlignment="1">
      <alignment horizontal="center" vertical="center"/>
      <protection/>
    </xf>
    <xf numFmtId="0" fontId="18" fillId="0" borderId="41" xfId="50" applyFont="1" applyBorder="1" applyAlignment="1">
      <alignment horizontal="center" vertical="center"/>
      <protection/>
    </xf>
    <xf numFmtId="165" fontId="18" fillId="0" borderId="54" xfId="50" applyNumberFormat="1" applyFont="1" applyBorder="1" applyAlignment="1">
      <alignment horizontal="center" vertical="center"/>
      <protection/>
    </xf>
    <xf numFmtId="165" fontId="18" fillId="0" borderId="41" xfId="50" applyNumberFormat="1" applyFont="1" applyBorder="1" applyAlignment="1">
      <alignment horizontal="center" vertical="center"/>
      <protection/>
    </xf>
    <xf numFmtId="165" fontId="18" fillId="0" borderId="30" xfId="50" applyNumberFormat="1" applyFont="1" applyBorder="1" applyAlignment="1">
      <alignment horizontal="center" vertical="center"/>
      <protection/>
    </xf>
    <xf numFmtId="165" fontId="19" fillId="0" borderId="51" xfId="50" applyNumberFormat="1" applyFont="1" applyFill="1" applyBorder="1" applyAlignment="1">
      <alignment horizontal="center" vertical="center"/>
      <protection/>
    </xf>
    <xf numFmtId="165" fontId="19" fillId="0" borderId="29" xfId="50" applyNumberFormat="1" applyFont="1" applyFill="1" applyBorder="1" applyAlignment="1">
      <alignment horizontal="center" vertical="center"/>
      <protection/>
    </xf>
    <xf numFmtId="165" fontId="19" fillId="0" borderId="0" xfId="50" applyNumberFormat="1" applyFont="1" applyFill="1" applyBorder="1" applyAlignment="1">
      <alignment horizontal="center" vertical="center"/>
      <protection/>
    </xf>
    <xf numFmtId="165" fontId="19" fillId="0" borderId="54" xfId="50" applyNumberFormat="1" applyFont="1" applyFill="1" applyBorder="1" applyAlignment="1">
      <alignment horizontal="center" vertical="center"/>
      <protection/>
    </xf>
    <xf numFmtId="165" fontId="19" fillId="0" borderId="30" xfId="50" applyNumberFormat="1" applyFont="1" applyFill="1" applyBorder="1" applyAlignment="1">
      <alignment horizontal="center" vertical="center"/>
      <protection/>
    </xf>
    <xf numFmtId="165" fontId="19" fillId="0" borderId="41" xfId="50" applyNumberFormat="1" applyFont="1" applyFill="1" applyBorder="1" applyAlignment="1">
      <alignment horizontal="center" vertical="center"/>
      <protection/>
    </xf>
    <xf numFmtId="0" fontId="19" fillId="0" borderId="53" xfId="50" applyFont="1" applyFill="1" applyBorder="1" applyAlignment="1">
      <alignment horizontal="center" vertical="center"/>
      <protection/>
    </xf>
    <xf numFmtId="0" fontId="19" fillId="0" borderId="55" xfId="50" applyFont="1" applyFill="1" applyBorder="1" applyAlignment="1">
      <alignment horizontal="center" vertical="center"/>
      <protection/>
    </xf>
    <xf numFmtId="166" fontId="19" fillId="0" borderId="53" xfId="50" applyNumberFormat="1" applyFont="1" applyFill="1" applyBorder="1" applyAlignment="1">
      <alignment horizontal="center" vertical="center"/>
      <protection/>
    </xf>
    <xf numFmtId="166" fontId="19" fillId="0" borderId="31" xfId="50" applyNumberFormat="1" applyFont="1" applyFill="1" applyBorder="1" applyAlignment="1">
      <alignment horizontal="center" vertical="center"/>
      <protection/>
    </xf>
    <xf numFmtId="166" fontId="19" fillId="0" borderId="55" xfId="50" applyNumberFormat="1" applyFont="1" applyFill="1" applyBorder="1" applyAlignment="1">
      <alignment horizontal="center" vertical="center"/>
      <protection/>
    </xf>
    <xf numFmtId="0" fontId="18" fillId="0" borderId="53" xfId="50" applyFont="1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18" fillId="0" borderId="55" xfId="50" applyFont="1" applyBorder="1" applyAlignment="1">
      <alignment horizontal="center" vertical="center"/>
      <protection/>
    </xf>
    <xf numFmtId="165" fontId="18" fillId="0" borderId="53" xfId="50" applyNumberFormat="1" applyFont="1" applyBorder="1" applyAlignment="1">
      <alignment horizontal="center" vertical="center"/>
      <protection/>
    </xf>
    <xf numFmtId="165" fontId="18" fillId="0" borderId="31" xfId="50" applyNumberFormat="1" applyFont="1" applyBorder="1" applyAlignment="1">
      <alignment horizontal="center" vertical="center"/>
      <protection/>
    </xf>
    <xf numFmtId="165" fontId="18" fillId="0" borderId="55" xfId="50" applyNumberFormat="1" applyFont="1" applyBorder="1" applyAlignment="1">
      <alignment horizontal="center" vertical="center"/>
      <protection/>
    </xf>
    <xf numFmtId="43" fontId="19" fillId="0" borderId="53" xfId="50" applyNumberFormat="1" applyFont="1" applyFill="1" applyBorder="1" applyAlignment="1">
      <alignment horizontal="center" vertical="center"/>
      <protection/>
    </xf>
    <xf numFmtId="165" fontId="19" fillId="0" borderId="53" xfId="50" applyNumberFormat="1" applyFont="1" applyFill="1" applyBorder="1" applyAlignment="1">
      <alignment horizontal="center" vertical="center"/>
      <protection/>
    </xf>
    <xf numFmtId="165" fontId="19" fillId="0" borderId="31" xfId="50" applyNumberFormat="1" applyFont="1" applyFill="1" applyBorder="1" applyAlignment="1">
      <alignment horizontal="center" vertical="center"/>
      <protection/>
    </xf>
    <xf numFmtId="165" fontId="19" fillId="0" borderId="55" xfId="50" applyNumberFormat="1" applyFont="1" applyFill="1" applyBorder="1" applyAlignment="1">
      <alignment horizontal="center" vertical="center"/>
      <protection/>
    </xf>
    <xf numFmtId="43" fontId="18" fillId="0" borderId="53" xfId="50" applyNumberFormat="1" applyFont="1" applyBorder="1" applyAlignment="1">
      <alignment horizontal="center" vertical="center"/>
      <protection/>
    </xf>
    <xf numFmtId="0" fontId="18" fillId="0" borderId="23" xfId="50" applyFont="1" applyFill="1" applyBorder="1" applyAlignment="1">
      <alignment horizontal="center" vertical="center"/>
      <protection/>
    </xf>
    <xf numFmtId="3" fontId="26" fillId="0" borderId="11" xfId="50" applyNumberFormat="1" applyFont="1" applyFill="1" applyBorder="1" applyAlignment="1">
      <alignment horizontal="center" vertical="center"/>
      <protection/>
    </xf>
    <xf numFmtId="3" fontId="26" fillId="0" borderId="21" xfId="50" applyNumberFormat="1" applyFont="1" applyFill="1" applyBorder="1" applyAlignment="1">
      <alignment horizontal="center" vertical="center" wrapText="1"/>
      <protection/>
    </xf>
    <xf numFmtId="3" fontId="26" fillId="0" borderId="13" xfId="50" applyNumberFormat="1" applyFont="1" applyFill="1" applyBorder="1" applyAlignment="1">
      <alignment horizontal="center" vertical="center" wrapText="1"/>
      <protection/>
    </xf>
    <xf numFmtId="3" fontId="26" fillId="0" borderId="48" xfId="50" applyNumberFormat="1" applyFont="1" applyFill="1" applyBorder="1" applyAlignment="1">
      <alignment horizontal="center" vertical="center" wrapText="1"/>
      <protection/>
    </xf>
    <xf numFmtId="3" fontId="26" fillId="0" borderId="49" xfId="50" applyNumberFormat="1" applyFont="1" applyFill="1" applyBorder="1" applyAlignment="1">
      <alignment horizontal="center" vertical="center" wrapText="1"/>
      <protection/>
    </xf>
    <xf numFmtId="3" fontId="26" fillId="0" borderId="81" xfId="50" applyNumberFormat="1" applyFont="1" applyFill="1" applyBorder="1" applyAlignment="1">
      <alignment horizontal="center" vertical="center"/>
      <protection/>
    </xf>
    <xf numFmtId="3" fontId="26" fillId="0" borderId="61" xfId="50" applyNumberFormat="1" applyFont="1" applyFill="1" applyBorder="1" applyAlignment="1">
      <alignment horizontal="center" vertical="center"/>
      <protection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29" xfId="0" applyNumberFormat="1" applyFont="1" applyBorder="1" applyAlignment="1">
      <alignment horizontal="right" vertical="center"/>
    </xf>
    <xf numFmtId="4" fontId="13" fillId="0" borderId="54" xfId="0" applyNumberFormat="1" applyFont="1" applyBorder="1" applyAlignment="1">
      <alignment horizontal="right" vertical="center"/>
    </xf>
    <xf numFmtId="4" fontId="13" fillId="0" borderId="41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right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67" xfId="0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 vertical="center" wrapText="1" indent="7"/>
    </xf>
    <xf numFmtId="4" fontId="13" fillId="0" borderId="20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6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45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165" fontId="13" fillId="0" borderId="20" xfId="57" applyFont="1" applyFill="1" applyBorder="1" applyAlignment="1" applyProtection="1">
      <alignment horizontal="center" vertical="center"/>
      <protection/>
    </xf>
    <xf numFmtId="165" fontId="13" fillId="0" borderId="48" xfId="57" applyFont="1" applyFill="1" applyBorder="1" applyAlignment="1" applyProtection="1">
      <alignment horizontal="center" vertical="center"/>
      <protection/>
    </xf>
    <xf numFmtId="165" fontId="13" fillId="0" borderId="16" xfId="57" applyNumberFormat="1" applyFont="1" applyFill="1" applyBorder="1" applyAlignment="1" applyProtection="1">
      <alignment horizontal="center" vertical="center"/>
      <protection/>
    </xf>
    <xf numFmtId="165" fontId="13" fillId="0" borderId="64" xfId="57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8"/>
    </xf>
    <xf numFmtId="0" fontId="26" fillId="35" borderId="11" xfId="0" applyFont="1" applyFill="1" applyBorder="1" applyAlignment="1">
      <alignment horizontal="center" vertical="center"/>
    </xf>
    <xf numFmtId="2" fontId="13" fillId="0" borderId="22" xfId="57" applyNumberFormat="1" applyFont="1" applyFill="1" applyBorder="1" applyAlignment="1" applyProtection="1">
      <alignment horizontal="right" vertical="center"/>
      <protection/>
    </xf>
    <xf numFmtId="2" fontId="13" fillId="0" borderId="44" xfId="57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Alignment="1">
      <alignment horizontal="left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165" fontId="13" fillId="0" borderId="14" xfId="57" applyFont="1" applyFill="1" applyBorder="1" applyAlignment="1">
      <alignment horizontal="center" vertical="center"/>
    </xf>
    <xf numFmtId="165" fontId="13" fillId="0" borderId="45" xfId="57" applyFont="1" applyFill="1" applyBorder="1" applyAlignment="1">
      <alignment horizontal="center" vertical="center"/>
    </xf>
    <xf numFmtId="165" fontId="13" fillId="0" borderId="20" xfId="57" applyFont="1" applyFill="1" applyBorder="1" applyAlignment="1">
      <alignment horizontal="center" vertical="center"/>
    </xf>
    <xf numFmtId="165" fontId="13" fillId="0" borderId="19" xfId="57" applyFont="1" applyFill="1" applyBorder="1" applyAlignment="1">
      <alignment horizontal="center" vertical="center"/>
    </xf>
    <xf numFmtId="2" fontId="13" fillId="0" borderId="0" xfId="57" applyNumberFormat="1" applyFont="1" applyFill="1" applyBorder="1" applyAlignment="1" applyProtection="1">
      <alignment horizontal="right" vertical="center"/>
      <protection/>
    </xf>
    <xf numFmtId="2" fontId="13" fillId="0" borderId="29" xfId="57" applyNumberFormat="1" applyFont="1" applyFill="1" applyBorder="1" applyAlignment="1" applyProtection="1">
      <alignment horizontal="right" vertical="center"/>
      <protection/>
    </xf>
    <xf numFmtId="165" fontId="0" fillId="0" borderId="41" xfId="57" applyFont="1" applyFill="1" applyBorder="1" applyAlignment="1" applyProtection="1">
      <alignment horizontal="right" vertical="center"/>
      <protection/>
    </xf>
    <xf numFmtId="165" fontId="0" fillId="0" borderId="30" xfId="57" applyFont="1" applyFill="1" applyBorder="1" applyAlignment="1" applyProtection="1">
      <alignment horizontal="right" vertical="center"/>
      <protection/>
    </xf>
    <xf numFmtId="165" fontId="13" fillId="0" borderId="14" xfId="57" applyFont="1" applyFill="1" applyBorder="1" applyAlignment="1">
      <alignment horizontal="right" vertical="center"/>
    </xf>
    <xf numFmtId="165" fontId="13" fillId="0" borderId="24" xfId="57" applyFont="1" applyFill="1" applyBorder="1" applyAlignment="1">
      <alignment horizontal="right" vertical="center"/>
    </xf>
    <xf numFmtId="165" fontId="13" fillId="0" borderId="44" xfId="57" applyFont="1" applyFill="1" applyBorder="1" applyAlignment="1">
      <alignment horizontal="center" vertical="center"/>
    </xf>
    <xf numFmtId="0" fontId="19" fillId="35" borderId="63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80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9" fillId="35" borderId="68" xfId="0" applyFont="1" applyFill="1" applyBorder="1" applyAlignment="1">
      <alignment horizontal="center" vertical="center"/>
    </xf>
    <xf numFmtId="165" fontId="19" fillId="0" borderId="54" xfId="57" applyFont="1" applyFill="1" applyBorder="1" applyAlignment="1" applyProtection="1">
      <alignment horizontal="center" vertical="center"/>
      <protection/>
    </xf>
    <xf numFmtId="165" fontId="19" fillId="0" borderId="30" xfId="57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165" fontId="13" fillId="0" borderId="24" xfId="57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LRF 6º BIMESTRE RREO 2008" xfId="49"/>
    <cellStyle name="Normal_LRF 6º BIMESTRE RREO 2008 2" xfId="50"/>
    <cellStyle name="Normal_LRF 6º BIMESTRE RREO 2009 2" xfId="51"/>
    <cellStyle name="Normal_SAUDE 3º BIM_2010" xfId="52"/>
    <cellStyle name="Nota" xfId="53"/>
    <cellStyle name="Percent" xfId="54"/>
    <cellStyle name="Porcentagem_SAUDE 3º BIM_2010" xfId="55"/>
    <cellStyle name="Saída" xfId="56"/>
    <cellStyle name="Comma" xfId="57"/>
    <cellStyle name="Comma [0]" xfId="58"/>
    <cellStyle name="Separador de milhares 2" xfId="59"/>
    <cellStyle name="Separador de milhares_LRF 6º BIMESTRE RREO 2008" xfId="60"/>
    <cellStyle name="Separador de milhares_LRF 6º BIMESTRE RREO 2008 2" xfId="61"/>
    <cellStyle name="Separador de milhares_LRF 6º BIMESTRE RREO 2009 2" xfId="62"/>
    <cellStyle name="Separador de milhares_LRF 6º BIMESTRE RREO 2010" xfId="63"/>
    <cellStyle name="Separador de milhares_SAUDE 3º BIM_2010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619125</xdr:colOff>
      <xdr:row>4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103</xdr:row>
      <xdr:rowOff>66675</xdr:rowOff>
    </xdr:from>
    <xdr:to>
      <xdr:col>0</xdr:col>
      <xdr:colOff>381000</xdr:colOff>
      <xdr:row>104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04800" y="24669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101</xdr:row>
      <xdr:rowOff>57150</xdr:rowOff>
    </xdr:from>
    <xdr:to>
      <xdr:col>10</xdr:col>
      <xdr:colOff>1143000</xdr:colOff>
      <xdr:row>105</xdr:row>
      <xdr:rowOff>47625</xdr:rowOff>
    </xdr:to>
    <xdr:grpSp>
      <xdr:nvGrpSpPr>
        <xdr:cNvPr id="3" name="Group 25"/>
        <xdr:cNvGrpSpPr>
          <a:grpSpLocks/>
        </xdr:cNvGrpSpPr>
      </xdr:nvGrpSpPr>
      <xdr:grpSpPr>
        <a:xfrm>
          <a:off x="523875" y="24260175"/>
          <a:ext cx="14706600" cy="790575"/>
          <a:chOff x="55" y="2569"/>
          <a:chExt cx="1438" cy="181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89" y="2569"/>
            <a:ext cx="1273" cy="107"/>
            <a:chOff x="1405" y="39064"/>
            <a:chExt cx="20789" cy="1615"/>
          </a:xfrm>
          <a:solidFill>
            <a:srgbClr val="FFFFFF"/>
          </a:solidFill>
        </xdr:grpSpPr>
        <xdr:sp fLocksText="0">
          <xdr:nvSpPr>
            <xdr:cNvPr id="5" name="Text Box 5"/>
            <xdr:cNvSpPr txBox="1">
              <a:spLocks noChangeArrowheads="1"/>
            </xdr:cNvSpPr>
          </xdr:nvSpPr>
          <xdr:spPr>
            <a:xfrm>
              <a:off x="1441" y="39097"/>
              <a:ext cx="6143" cy="15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Municipal da Fazenda</a:t>
              </a:r>
            </a:p>
          </xdr:txBody>
        </xdr:sp>
        <xdr:sp fLocksText="0">
          <xdr:nvSpPr>
            <xdr:cNvPr id="6" name="Text Box 6"/>
            <xdr:cNvSpPr txBox="1">
              <a:spLocks noChangeArrowheads="1"/>
            </xdr:cNvSpPr>
          </xdr:nvSpPr>
          <xdr:spPr>
            <a:xfrm>
              <a:off x="8697" y="39097"/>
              <a:ext cx="6102" cy="15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7" name="Text Box 7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1"/>
          <xdr:cNvGrpSpPr>
            <a:grpSpLocks/>
          </xdr:cNvGrpSpPr>
        </xdr:nvGrpSpPr>
        <xdr:grpSpPr>
          <a:xfrm>
            <a:off x="55" y="2668"/>
            <a:ext cx="1438" cy="82"/>
            <a:chOff x="120" y="2528"/>
            <a:chExt cx="1343" cy="67"/>
          </a:xfrm>
          <a:solidFill>
            <a:srgbClr val="FFFFFF"/>
          </a:solidFill>
        </xdr:grpSpPr>
        <xdr:sp fLocksText="0">
          <xdr:nvSpPr>
            <xdr:cNvPr id="9" name="Text Box 22"/>
            <xdr:cNvSpPr txBox="1">
              <a:spLocks noChangeArrowheads="1"/>
            </xdr:cNvSpPr>
          </xdr:nvSpPr>
          <xdr:spPr>
            <a:xfrm>
              <a:off x="120" y="2543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" name="Text Box 23"/>
            <xdr:cNvSpPr txBox="1">
              <a:spLocks noChangeArrowheads="1"/>
            </xdr:cNvSpPr>
          </xdr:nvSpPr>
          <xdr:spPr>
            <a:xfrm>
              <a:off x="535" y="2529"/>
              <a:ext cx="395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1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</xdr:col>
      <xdr:colOff>495300</xdr:colOff>
      <xdr:row>107</xdr:row>
      <xdr:rowOff>114300</xdr:rowOff>
    </xdr:from>
    <xdr:ext cx="3000375" cy="609600"/>
    <xdr:sp>
      <xdr:nvSpPr>
        <xdr:cNvPr id="12" name="CaixaDeTexto 15"/>
        <xdr:cNvSpPr txBox="1">
          <a:spLocks noChangeArrowheads="1"/>
        </xdr:cNvSpPr>
      </xdr:nvSpPr>
      <xdr:spPr>
        <a:xfrm>
          <a:off x="3505200" y="25517475"/>
          <a:ext cx="3000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Jairo Câmara de Carvalho Filho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Geral do Município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CRC-MA  2074</a:t>
          </a:r>
        </a:p>
      </xdr:txBody>
    </xdr:sp>
    <xdr:clientData/>
  </xdr:oneCellAnchor>
  <xdr:oneCellAnchor>
    <xdr:from>
      <xdr:col>0</xdr:col>
      <xdr:colOff>1019175</xdr:colOff>
      <xdr:row>88</xdr:row>
      <xdr:rowOff>47625</xdr:rowOff>
    </xdr:from>
    <xdr:ext cx="2714625" cy="266700"/>
    <xdr:sp fLocksText="0">
      <xdr:nvSpPr>
        <xdr:cNvPr id="13" name="CaixaDeTexto 16"/>
        <xdr:cNvSpPr txBox="1">
          <a:spLocks noChangeArrowheads="1"/>
        </xdr:cNvSpPr>
      </xdr:nvSpPr>
      <xdr:spPr>
        <a:xfrm>
          <a:off x="1019175" y="21164550"/>
          <a:ext cx="2714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87</xdr:row>
      <xdr:rowOff>228600</xdr:rowOff>
    </xdr:from>
    <xdr:ext cx="2066925" cy="266700"/>
    <xdr:sp fLocksText="0">
      <xdr:nvSpPr>
        <xdr:cNvPr id="14" name="CaixaDeTexto 17"/>
        <xdr:cNvSpPr txBox="1">
          <a:spLocks noChangeArrowheads="1"/>
        </xdr:cNvSpPr>
      </xdr:nvSpPr>
      <xdr:spPr>
        <a:xfrm>
          <a:off x="6162675" y="21107400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504825</xdr:colOff>
      <xdr:row>94</xdr:row>
      <xdr:rowOff>123825</xdr:rowOff>
    </xdr:from>
    <xdr:ext cx="2428875" cy="266700"/>
    <xdr:sp fLocksText="0">
      <xdr:nvSpPr>
        <xdr:cNvPr id="15" name="CaixaDeTexto 18"/>
        <xdr:cNvSpPr txBox="1">
          <a:spLocks noChangeArrowheads="1"/>
        </xdr:cNvSpPr>
      </xdr:nvSpPr>
      <xdr:spPr>
        <a:xfrm>
          <a:off x="3514725" y="22669500"/>
          <a:ext cx="2428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0</xdr:rowOff>
    </xdr:from>
    <xdr:to>
      <xdr:col>5</xdr:col>
      <xdr:colOff>0</xdr:colOff>
      <xdr:row>38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9029700"/>
          <a:ext cx="4743450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1891948277" y="9029700"/>
            <a:ext cx="44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147363429" y="9029700"/>
            <a:ext cx="50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9029700"/>
            <a:ext cx="46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19050</xdr:colOff>
      <xdr:row>37</xdr:row>
      <xdr:rowOff>47625</xdr:rowOff>
    </xdr:from>
    <xdr:to>
      <xdr:col>20</xdr:col>
      <xdr:colOff>247650</xdr:colOff>
      <xdr:row>50</xdr:row>
      <xdr:rowOff>142875</xdr:rowOff>
    </xdr:to>
    <xdr:grpSp>
      <xdr:nvGrpSpPr>
        <xdr:cNvPr id="6" name="Group 7"/>
        <xdr:cNvGrpSpPr>
          <a:grpSpLocks/>
        </xdr:cNvGrpSpPr>
      </xdr:nvGrpSpPr>
      <xdr:grpSpPr>
        <a:xfrm>
          <a:off x="19050" y="8915400"/>
          <a:ext cx="6362700" cy="2543175"/>
          <a:chOff x="90" y="2568"/>
          <a:chExt cx="1402" cy="227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90" y="2568"/>
            <a:ext cx="1362" cy="49"/>
            <a:chOff x="1419" y="39064"/>
            <a:chExt cx="22289" cy="740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1419" y="39180"/>
              <a:ext cx="9239" cy="6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14090" y="39180"/>
              <a:ext cx="9618" cy="6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41" y="39064"/>
              <a:ext cx="6152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123" y="2673"/>
            <a:ext cx="1369" cy="122"/>
            <a:chOff x="183" y="2492"/>
            <a:chExt cx="1280" cy="98"/>
          </a:xfrm>
          <a:solidFill>
            <a:srgbClr val="FFFFFF"/>
          </a:solidFill>
        </xdr:grpSpPr>
        <xdr:sp fLocksText="0"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83" y="2496"/>
              <a:ext cx="400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543" y="2492"/>
              <a:ext cx="49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102</xdr:row>
      <xdr:rowOff>0</xdr:rowOff>
    </xdr:from>
    <xdr:to>
      <xdr:col>4</xdr:col>
      <xdr:colOff>895350</xdr:colOff>
      <xdr:row>102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5536525"/>
          <a:ext cx="8772525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002954102" y="25536525"/>
            <a:ext cx="36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768782623" y="25536525"/>
            <a:ext cx="363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1215" y="25536525"/>
            <a:ext cx="36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94</xdr:row>
      <xdr:rowOff>133350</xdr:rowOff>
    </xdr:from>
    <xdr:to>
      <xdr:col>8</xdr:col>
      <xdr:colOff>238125</xdr:colOff>
      <xdr:row>105</xdr:row>
      <xdr:rowOff>85725</xdr:rowOff>
    </xdr:to>
    <xdr:grpSp>
      <xdr:nvGrpSpPr>
        <xdr:cNvPr id="6" name="Group 16"/>
        <xdr:cNvGrpSpPr>
          <a:grpSpLocks/>
        </xdr:cNvGrpSpPr>
      </xdr:nvGrpSpPr>
      <xdr:grpSpPr>
        <a:xfrm>
          <a:off x="0" y="24374475"/>
          <a:ext cx="12687300" cy="1819275"/>
          <a:chOff x="51" y="2518"/>
          <a:chExt cx="1442" cy="275"/>
        </a:xfrm>
        <a:solidFill>
          <a:srgbClr val="FFFFFF"/>
        </a:solidFill>
      </xdr:grpSpPr>
      <xdr:grpSp>
        <xdr:nvGrpSpPr>
          <xdr:cNvPr id="7" name="Group 17"/>
          <xdr:cNvGrpSpPr>
            <a:grpSpLocks/>
          </xdr:cNvGrpSpPr>
        </xdr:nvGrpSpPr>
        <xdr:grpSpPr>
          <a:xfrm>
            <a:off x="180" y="2518"/>
            <a:ext cx="1183" cy="152"/>
            <a:chOff x="2882" y="39064"/>
            <a:chExt cx="19312" cy="2340"/>
          </a:xfrm>
          <a:solidFill>
            <a:srgbClr val="FFFFFF"/>
          </a:solidFill>
        </xdr:grpSpPr>
        <xdr:sp fLocksText="0">
          <xdr:nvSpPr>
            <xdr:cNvPr id="8" name="Text Box 18"/>
            <xdr:cNvSpPr txBox="1">
              <a:spLocks noChangeArrowheads="1"/>
            </xdr:cNvSpPr>
          </xdr:nvSpPr>
          <xdr:spPr>
            <a:xfrm>
              <a:off x="2882" y="39308"/>
              <a:ext cx="6170" cy="17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9"/>
            <xdr:cNvSpPr txBox="1">
              <a:spLocks noChangeArrowheads="1"/>
            </xdr:cNvSpPr>
          </xdr:nvSpPr>
          <xdr:spPr>
            <a:xfrm>
              <a:off x="9965" y="39374"/>
              <a:ext cx="6098" cy="20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e Silva Neto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2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21"/>
          <xdr:cNvGrpSpPr>
            <a:grpSpLocks/>
          </xdr:cNvGrpSpPr>
        </xdr:nvGrpSpPr>
        <xdr:grpSpPr>
          <a:xfrm>
            <a:off x="51" y="2667"/>
            <a:ext cx="1442" cy="126"/>
            <a:chOff x="116" y="2528"/>
            <a:chExt cx="1347" cy="103"/>
          </a:xfrm>
          <a:solidFill>
            <a:srgbClr val="FFFFFF"/>
          </a:solidFill>
        </xdr:grpSpPr>
        <xdr:sp fLocksText="0">
          <xdr:nvSpPr>
            <xdr:cNvPr id="12" name="Text Box 22"/>
            <xdr:cNvSpPr txBox="1">
              <a:spLocks noChangeArrowheads="1"/>
            </xdr:cNvSpPr>
          </xdr:nvSpPr>
          <xdr:spPr>
            <a:xfrm>
              <a:off x="116" y="2546"/>
              <a:ext cx="401" cy="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23"/>
            <xdr:cNvSpPr txBox="1">
              <a:spLocks noChangeArrowheads="1"/>
            </xdr:cNvSpPr>
          </xdr:nvSpPr>
          <xdr:spPr>
            <a:xfrm>
              <a:off x="412" y="2538"/>
              <a:ext cx="371" cy="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581025</xdr:colOff>
      <xdr:row>4</xdr:row>
      <xdr:rowOff>200025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5</xdr:row>
      <xdr:rowOff>0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144</xdr:row>
      <xdr:rowOff>28575</xdr:rowOff>
    </xdr:from>
    <xdr:to>
      <xdr:col>14</xdr:col>
      <xdr:colOff>914400</xdr:colOff>
      <xdr:row>151</xdr:row>
      <xdr:rowOff>152400</xdr:rowOff>
    </xdr:to>
    <xdr:grpSp>
      <xdr:nvGrpSpPr>
        <xdr:cNvPr id="3" name="Group 21"/>
        <xdr:cNvGrpSpPr>
          <a:grpSpLocks/>
        </xdr:cNvGrpSpPr>
      </xdr:nvGrpSpPr>
      <xdr:grpSpPr>
        <a:xfrm>
          <a:off x="485775" y="31880175"/>
          <a:ext cx="14230350" cy="1724025"/>
          <a:chOff x="51" y="2568"/>
          <a:chExt cx="1442" cy="181"/>
        </a:xfrm>
        <a:solidFill>
          <a:srgbClr val="FFFFFF"/>
        </a:solidFill>
      </xdr:grpSpPr>
      <xdr:grpSp>
        <xdr:nvGrpSpPr>
          <xdr:cNvPr id="4" name="Group 22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23"/>
            <xdr:cNvSpPr txBox="1">
              <a:spLocks noChangeArrowheads="1"/>
            </xdr:cNvSpPr>
          </xdr:nvSpPr>
          <xdr:spPr>
            <a:xfrm>
              <a:off x="1421" y="39094"/>
              <a:ext cx="6180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 José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24"/>
            <xdr:cNvSpPr txBox="1">
              <a:spLocks noChangeArrowheads="1"/>
            </xdr:cNvSpPr>
          </xdr:nvSpPr>
          <xdr:spPr>
            <a:xfrm>
              <a:off x="8634" y="39124"/>
              <a:ext cx="6133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7" name="Text Box 25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9" name="Text Box 27"/>
            <xdr:cNvSpPr txBox="1">
              <a:spLocks noChangeArrowheads="1"/>
            </xdr:cNvSpPr>
          </xdr:nvSpPr>
          <xdr:spPr>
            <a:xfrm>
              <a:off x="116" y="253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0" name="Text Box 28"/>
            <xdr:cNvSpPr txBox="1">
              <a:spLocks noChangeArrowheads="1"/>
            </xdr:cNvSpPr>
          </xdr:nvSpPr>
          <xdr:spPr>
            <a:xfrm>
              <a:off x="365" y="2531"/>
              <a:ext cx="397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Câmara de Carvalho Filho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 </a:t>
              </a:r>
            </a:p>
          </xdr:txBody>
        </xdr:sp>
        <xdr:sp fLocksText="0">
          <xdr:nvSpPr>
            <xdr:cNvPr id="11" name="Text Box 29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723900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38</xdr:row>
      <xdr:rowOff>66675</xdr:rowOff>
    </xdr:from>
    <xdr:to>
      <xdr:col>17</xdr:col>
      <xdr:colOff>685800</xdr:colOff>
      <xdr:row>47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485775" y="7324725"/>
          <a:ext cx="16144875" cy="1790700"/>
          <a:chOff x="51" y="2570"/>
          <a:chExt cx="1440" cy="188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91" y="2570"/>
            <a:ext cx="1270" cy="76"/>
            <a:chOff x="1435" y="39064"/>
            <a:chExt cx="20759" cy="1147"/>
          </a:xfrm>
          <a:solidFill>
            <a:srgbClr val="FFFFFF"/>
          </a:solidFill>
        </xdr:grpSpPr>
        <xdr:sp fLocksText="0">
          <xdr:nvSpPr>
            <xdr:cNvPr id="4" name="Text Box 12"/>
            <xdr:cNvSpPr txBox="1">
              <a:spLocks noChangeArrowheads="1"/>
            </xdr:cNvSpPr>
          </xdr:nvSpPr>
          <xdr:spPr>
            <a:xfrm>
              <a:off x="1435" y="39577"/>
              <a:ext cx="6181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8644" y="39396"/>
              <a:ext cx="6056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16039" y="39064"/>
              <a:ext cx="6155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15"/>
          <xdr:cNvGrpSpPr>
            <a:grpSpLocks/>
          </xdr:cNvGrpSpPr>
        </xdr:nvGrpSpPr>
        <xdr:grpSpPr>
          <a:xfrm>
            <a:off x="51" y="2666"/>
            <a:ext cx="1440" cy="92"/>
            <a:chOff x="116" y="2521"/>
            <a:chExt cx="1347" cy="75"/>
          </a:xfrm>
          <a:solidFill>
            <a:srgbClr val="FFFFFF"/>
          </a:solidFill>
        </xdr:grpSpPr>
        <xdr:sp fLocksText="0">
          <xdr:nvSpPr>
            <xdr:cNvPr id="8" name="Text Box 16"/>
            <xdr:cNvSpPr txBox="1">
              <a:spLocks noChangeArrowheads="1"/>
            </xdr:cNvSpPr>
          </xdr:nvSpPr>
          <xdr:spPr>
            <a:xfrm>
              <a:off x="116" y="252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 Box 17"/>
            <xdr:cNvSpPr txBox="1">
              <a:spLocks noChangeArrowheads="1"/>
            </xdr:cNvSpPr>
          </xdr:nvSpPr>
          <xdr:spPr>
            <a:xfrm>
              <a:off x="334" y="2544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695325</xdr:colOff>
      <xdr:row>4</xdr:row>
      <xdr:rowOff>152400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68</xdr:row>
      <xdr:rowOff>0</xdr:rowOff>
    </xdr:from>
    <xdr:to>
      <xdr:col>0</xdr:col>
      <xdr:colOff>695325</xdr:colOff>
      <xdr:row>72</xdr:row>
      <xdr:rowOff>171450</xdr:rowOff>
    </xdr:to>
    <xdr:pic>
      <xdr:nvPicPr>
        <xdr:cNvPr id="2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3487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68</xdr:row>
      <xdr:rowOff>0</xdr:rowOff>
    </xdr:from>
    <xdr:to>
      <xdr:col>0</xdr:col>
      <xdr:colOff>695325</xdr:colOff>
      <xdr:row>72</xdr:row>
      <xdr:rowOff>171450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3487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139</xdr:row>
      <xdr:rowOff>0</xdr:rowOff>
    </xdr:from>
    <xdr:to>
      <xdr:col>24</xdr:col>
      <xdr:colOff>171450</xdr:colOff>
      <xdr:row>154</xdr:row>
      <xdr:rowOff>76200</xdr:rowOff>
    </xdr:to>
    <xdr:grpSp>
      <xdr:nvGrpSpPr>
        <xdr:cNvPr id="4" name="Group 9"/>
        <xdr:cNvGrpSpPr>
          <a:grpSpLocks/>
        </xdr:cNvGrpSpPr>
      </xdr:nvGrpSpPr>
      <xdr:grpSpPr>
        <a:xfrm>
          <a:off x="504825" y="24460200"/>
          <a:ext cx="14678025" cy="2219325"/>
          <a:chOff x="53" y="2566"/>
          <a:chExt cx="1440" cy="233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90" y="2566"/>
            <a:ext cx="1272" cy="49"/>
            <a:chOff x="1421" y="39064"/>
            <a:chExt cx="20773" cy="740"/>
          </a:xfrm>
          <a:solidFill>
            <a:srgbClr val="FFFFFF"/>
          </a:solidFill>
        </xdr:grpSpPr>
        <xdr:sp fLocksText="0">
          <xdr:nvSpPr>
            <xdr:cNvPr id="6" name="Text Box 11"/>
            <xdr:cNvSpPr txBox="1">
              <a:spLocks noChangeArrowheads="1"/>
            </xdr:cNvSpPr>
          </xdr:nvSpPr>
          <xdr:spPr>
            <a:xfrm>
              <a:off x="1426" y="39094"/>
              <a:ext cx="6180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7" name="Text Box 12"/>
            <xdr:cNvSpPr txBox="1">
              <a:spLocks noChangeArrowheads="1"/>
            </xdr:cNvSpPr>
          </xdr:nvSpPr>
          <xdr:spPr>
            <a:xfrm>
              <a:off x="8676" y="39124"/>
              <a:ext cx="6118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Silva Neto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8" name="Text Box 13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4"/>
          <xdr:cNvGrpSpPr>
            <a:grpSpLocks/>
          </xdr:cNvGrpSpPr>
        </xdr:nvGrpSpPr>
        <xdr:grpSpPr>
          <a:xfrm>
            <a:off x="53" y="2677"/>
            <a:ext cx="1440" cy="122"/>
            <a:chOff x="118" y="2492"/>
            <a:chExt cx="1345" cy="98"/>
          </a:xfrm>
          <a:solidFill>
            <a:srgbClr val="FFFFFF"/>
          </a:solidFill>
        </xdr:grpSpPr>
        <xdr:sp fLocksText="0">
          <xdr:nvSpPr>
            <xdr:cNvPr id="10" name="Text Box 15"/>
            <xdr:cNvSpPr txBox="1">
              <a:spLocks noChangeArrowheads="1"/>
            </xdr:cNvSpPr>
          </xdr:nvSpPr>
          <xdr:spPr>
            <a:xfrm>
              <a:off x="118" y="2492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 Box 16"/>
            <xdr:cNvSpPr txBox="1">
              <a:spLocks noChangeArrowheads="1"/>
            </xdr:cNvSpPr>
          </xdr:nvSpPr>
          <xdr:spPr>
            <a:xfrm>
              <a:off x="318" y="2494"/>
              <a:ext cx="395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2" name="Text Box 17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8</xdr:col>
      <xdr:colOff>219075</xdr:colOff>
      <xdr:row>49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0848975"/>
          <a:ext cx="8181975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24019367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581086424" y="10848975"/>
            <a:ext cx="39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1330795951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9525</xdr:colOff>
      <xdr:row>47</xdr:row>
      <xdr:rowOff>95250</xdr:rowOff>
    </xdr:from>
    <xdr:to>
      <xdr:col>19</xdr:col>
      <xdr:colOff>9525</xdr:colOff>
      <xdr:row>58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9525" y="10620375"/>
          <a:ext cx="14335125" cy="1609725"/>
          <a:chOff x="52" y="2568"/>
          <a:chExt cx="1441" cy="169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68"/>
            <a:ext cx="1273" cy="49"/>
            <a:chOff x="1413" y="39064"/>
            <a:chExt cx="20781" cy="740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8" y="39094"/>
              <a:ext cx="6188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110" y="39124"/>
              <a:ext cx="6094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2" y="2640"/>
            <a:ext cx="1441" cy="97"/>
            <a:chOff x="117" y="2528"/>
            <a:chExt cx="1346" cy="80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7" y="2533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269" y="2540"/>
              <a:ext cx="472" cy="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0</xdr:rowOff>
    </xdr:from>
    <xdr:to>
      <xdr:col>5</xdr:col>
      <xdr:colOff>0</xdr:colOff>
      <xdr:row>71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13639800"/>
          <a:ext cx="707707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13639800"/>
            <a:ext cx="45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062915536" y="13639800"/>
            <a:ext cx="49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13639800"/>
            <a:ext cx="490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228600</xdr:colOff>
      <xdr:row>68</xdr:row>
      <xdr:rowOff>161925</xdr:rowOff>
    </xdr:from>
    <xdr:to>
      <xdr:col>20</xdr:col>
      <xdr:colOff>257175</xdr:colOff>
      <xdr:row>82</xdr:row>
      <xdr:rowOff>171450</xdr:rowOff>
    </xdr:to>
    <xdr:grpSp>
      <xdr:nvGrpSpPr>
        <xdr:cNvPr id="6" name="Group 7"/>
        <xdr:cNvGrpSpPr>
          <a:grpSpLocks/>
        </xdr:cNvGrpSpPr>
      </xdr:nvGrpSpPr>
      <xdr:grpSpPr>
        <a:xfrm>
          <a:off x="228600" y="13258800"/>
          <a:ext cx="11039475" cy="2647950"/>
          <a:chOff x="51" y="2537"/>
          <a:chExt cx="1442" cy="244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194" y="2537"/>
            <a:ext cx="1168" cy="92"/>
            <a:chOff x="3132" y="39064"/>
            <a:chExt cx="19062" cy="1406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3132" y="39359"/>
              <a:ext cx="6414" cy="6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12248" y="39842"/>
              <a:ext cx="6114" cy="6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Geral do Município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42" y="39064"/>
              <a:ext cx="6152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51" y="2703"/>
            <a:ext cx="1442" cy="78"/>
            <a:chOff x="116" y="2527"/>
            <a:chExt cx="1347" cy="63"/>
          </a:xfrm>
          <a:solidFill>
            <a:srgbClr val="FFFFFF"/>
          </a:solidFill>
        </xdr:grpSpPr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16" y="2531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493" y="2527"/>
              <a:ext cx="394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62</xdr:row>
      <xdr:rowOff>0</xdr:rowOff>
    </xdr:from>
    <xdr:to>
      <xdr:col>11</xdr:col>
      <xdr:colOff>0</xdr:colOff>
      <xdr:row>62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5211425"/>
          <a:ext cx="10763250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821" y="15211425"/>
            <a:ext cx="54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46590006" y="15211425"/>
            <a:ext cx="544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821" y="15211425"/>
            <a:ext cx="544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752475</xdr:colOff>
      <xdr:row>4</xdr:row>
      <xdr:rowOff>171450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87</xdr:row>
      <xdr:rowOff>47625</xdr:rowOff>
    </xdr:from>
    <xdr:to>
      <xdr:col>0</xdr:col>
      <xdr:colOff>752475</xdr:colOff>
      <xdr:row>91</xdr:row>
      <xdr:rowOff>76200</xdr:rowOff>
    </xdr:to>
    <xdr:pic>
      <xdr:nvPicPr>
        <xdr:cNvPr id="2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78317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195</xdr:row>
      <xdr:rowOff>0</xdr:rowOff>
    </xdr:from>
    <xdr:to>
      <xdr:col>4</xdr:col>
      <xdr:colOff>285750</xdr:colOff>
      <xdr:row>195</xdr:row>
      <xdr:rowOff>0</xdr:rowOff>
    </xdr:to>
    <xdr:grpSp>
      <xdr:nvGrpSpPr>
        <xdr:cNvPr id="3" name="Group 8"/>
        <xdr:cNvGrpSpPr>
          <a:grpSpLocks/>
        </xdr:cNvGrpSpPr>
      </xdr:nvGrpSpPr>
      <xdr:grpSpPr>
        <a:xfrm>
          <a:off x="819150" y="42357675"/>
          <a:ext cx="759142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4" name="Text Box 9"/>
          <xdr:cNvSpPr txBox="1">
            <a:spLocks noChangeArrowheads="1"/>
          </xdr:cNvSpPr>
        </xdr:nvSpPr>
        <xdr:spPr>
          <a:xfrm>
            <a:off x="1241547647" y="42357675"/>
            <a:ext cx="36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5" name="Text Box 10"/>
          <xdr:cNvSpPr txBox="1">
            <a:spLocks noChangeArrowheads="1"/>
          </xdr:cNvSpPr>
        </xdr:nvSpPr>
        <xdr:spPr>
          <a:xfrm>
            <a:off x="455504479" y="42357675"/>
            <a:ext cx="365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6" name="Text Box 11"/>
          <xdr:cNvSpPr txBox="1">
            <a:spLocks noChangeArrowheads="1"/>
          </xdr:cNvSpPr>
        </xdr:nvSpPr>
        <xdr:spPr>
          <a:xfrm>
            <a:off x="1565027853" y="42357675"/>
            <a:ext cx="36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2028825</xdr:colOff>
      <xdr:row>195</xdr:row>
      <xdr:rowOff>76200</xdr:rowOff>
    </xdr:from>
    <xdr:to>
      <xdr:col>12</xdr:col>
      <xdr:colOff>228600</xdr:colOff>
      <xdr:row>205</xdr:row>
      <xdr:rowOff>152400</xdr:rowOff>
    </xdr:to>
    <xdr:grpSp>
      <xdr:nvGrpSpPr>
        <xdr:cNvPr id="7" name="Group 15"/>
        <xdr:cNvGrpSpPr>
          <a:grpSpLocks/>
        </xdr:cNvGrpSpPr>
      </xdr:nvGrpSpPr>
      <xdr:grpSpPr>
        <a:xfrm>
          <a:off x="2028825" y="42433875"/>
          <a:ext cx="12515850" cy="1781175"/>
          <a:chOff x="47" y="2575"/>
          <a:chExt cx="1446" cy="229"/>
        </a:xfrm>
        <a:solidFill>
          <a:srgbClr val="FFFFFF"/>
        </a:solidFill>
      </xdr:grpSpPr>
      <xdr:grpSp>
        <xdr:nvGrpSpPr>
          <xdr:cNvPr id="8" name="Group 16"/>
          <xdr:cNvGrpSpPr>
            <a:grpSpLocks/>
          </xdr:cNvGrpSpPr>
        </xdr:nvGrpSpPr>
        <xdr:grpSpPr>
          <a:xfrm>
            <a:off x="47" y="2575"/>
            <a:ext cx="1315" cy="95"/>
            <a:chOff x="692" y="39064"/>
            <a:chExt cx="21502" cy="1430"/>
          </a:xfrm>
          <a:solidFill>
            <a:srgbClr val="FFFFFF"/>
          </a:solidFill>
        </xdr:grpSpPr>
        <xdr:sp fLocksText="0">
          <xdr:nvSpPr>
            <xdr:cNvPr id="9" name="Text Box 17"/>
            <xdr:cNvSpPr txBox="1">
              <a:spLocks noChangeArrowheads="1"/>
            </xdr:cNvSpPr>
          </xdr:nvSpPr>
          <xdr:spPr>
            <a:xfrm>
              <a:off x="692" y="39506"/>
              <a:ext cx="6209" cy="8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9545" y="39470"/>
              <a:ext cx="6133" cy="10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1" name="Text Box 19"/>
            <xdr:cNvSpPr txBox="1">
              <a:spLocks noChangeArrowheads="1"/>
            </xdr:cNvSpPr>
          </xdr:nvSpPr>
          <xdr:spPr>
            <a:xfrm>
              <a:off x="16039" y="39064"/>
              <a:ext cx="6155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0"/>
          <xdr:cNvGrpSpPr>
            <a:grpSpLocks/>
          </xdr:cNvGrpSpPr>
        </xdr:nvGrpSpPr>
        <xdr:grpSpPr>
          <a:xfrm>
            <a:off x="51" y="2653"/>
            <a:ext cx="1442" cy="151"/>
            <a:chOff x="116" y="2528"/>
            <a:chExt cx="1347" cy="124"/>
          </a:xfrm>
          <a:solidFill>
            <a:srgbClr val="FFFFFF"/>
          </a:solidFill>
        </xdr:grpSpPr>
        <xdr:sp fLocksText="0">
          <xdr:nvSpPr>
            <xdr:cNvPr id="13" name="Text Box 21"/>
            <xdr:cNvSpPr txBox="1">
              <a:spLocks noChangeArrowheads="1"/>
            </xdr:cNvSpPr>
          </xdr:nvSpPr>
          <xdr:spPr>
            <a:xfrm>
              <a:off x="116" y="2582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354" y="2595"/>
              <a:ext cx="405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5" name="Text Box 23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172</xdr:row>
      <xdr:rowOff>85725</xdr:rowOff>
    </xdr:from>
    <xdr:to>
      <xdr:col>0</xdr:col>
      <xdr:colOff>752475</xdr:colOff>
      <xdr:row>176</xdr:row>
      <xdr:rowOff>200025</xdr:rowOff>
    </xdr:to>
    <xdr:pic>
      <xdr:nvPicPr>
        <xdr:cNvPr id="16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7109400"/>
          <a:ext cx="571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89</xdr:row>
      <xdr:rowOff>57150</xdr:rowOff>
    </xdr:from>
    <xdr:to>
      <xdr:col>1</xdr:col>
      <xdr:colOff>190500</xdr:colOff>
      <xdr:row>89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19362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609600</xdr:colOff>
      <xdr:row>5</xdr:row>
      <xdr:rowOff>28575</xdr:rowOff>
    </xdr:to>
    <xdr:pic>
      <xdr:nvPicPr>
        <xdr:cNvPr id="2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97</xdr:row>
      <xdr:rowOff>219075</xdr:rowOff>
    </xdr:from>
    <xdr:to>
      <xdr:col>1</xdr:col>
      <xdr:colOff>57150</xdr:colOff>
      <xdr:row>103</xdr:row>
      <xdr:rowOff>9525</xdr:rowOff>
    </xdr:to>
    <xdr:pic>
      <xdr:nvPicPr>
        <xdr:cNvPr id="3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7936825"/>
          <a:ext cx="514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48</xdr:row>
      <xdr:rowOff>0</xdr:rowOff>
    </xdr:from>
    <xdr:to>
      <xdr:col>1</xdr:col>
      <xdr:colOff>0</xdr:colOff>
      <xdr:row>52</xdr:row>
      <xdr:rowOff>171450</xdr:rowOff>
    </xdr:to>
    <xdr:pic>
      <xdr:nvPicPr>
        <xdr:cNvPr id="4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763625"/>
          <a:ext cx="514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361950</xdr:colOff>
      <xdr:row>149</xdr:row>
      <xdr:rowOff>28575</xdr:rowOff>
    </xdr:from>
    <xdr:ext cx="2581275" cy="581025"/>
    <xdr:sp>
      <xdr:nvSpPr>
        <xdr:cNvPr id="5" name="CaixaDeTexto 5"/>
        <xdr:cNvSpPr txBox="1">
          <a:spLocks noChangeArrowheads="1"/>
        </xdr:cNvSpPr>
      </xdr:nvSpPr>
      <xdr:spPr>
        <a:xfrm>
          <a:off x="971550" y="39443025"/>
          <a:ext cx="2581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Raimundo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Rodrigues do Nascimento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Municipal da Fazenda</a:t>
          </a:r>
        </a:p>
      </xdr:txBody>
    </xdr:sp>
    <xdr:clientData/>
  </xdr:oneCellAnchor>
  <xdr:oneCellAnchor>
    <xdr:from>
      <xdr:col>2</xdr:col>
      <xdr:colOff>819150</xdr:colOff>
      <xdr:row>149</xdr:row>
      <xdr:rowOff>133350</xdr:rowOff>
    </xdr:from>
    <xdr:ext cx="2047875" cy="390525"/>
    <xdr:sp>
      <xdr:nvSpPr>
        <xdr:cNvPr id="6" name="CaixaDeTexto 6"/>
        <xdr:cNvSpPr txBox="1">
          <a:spLocks noChangeArrowheads="1"/>
        </xdr:cNvSpPr>
      </xdr:nvSpPr>
      <xdr:spPr>
        <a:xfrm>
          <a:off x="4762500" y="39547800"/>
          <a:ext cx="2047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Délcio Rodrigues e Silva Neto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Controlador Gerel do Município</a:t>
          </a:r>
        </a:p>
      </xdr:txBody>
    </xdr:sp>
    <xdr:clientData/>
  </xdr:oneCellAnchor>
  <xdr:oneCellAnchor>
    <xdr:from>
      <xdr:col>1</xdr:col>
      <xdr:colOff>2495550</xdr:colOff>
      <xdr:row>155</xdr:row>
      <xdr:rowOff>142875</xdr:rowOff>
    </xdr:from>
    <xdr:ext cx="2114550" cy="533400"/>
    <xdr:sp>
      <xdr:nvSpPr>
        <xdr:cNvPr id="7" name="CaixaDeTexto 7"/>
        <xdr:cNvSpPr txBox="1">
          <a:spLocks noChangeArrowheads="1"/>
        </xdr:cNvSpPr>
      </xdr:nvSpPr>
      <xdr:spPr>
        <a:xfrm>
          <a:off x="3105150" y="40528875"/>
          <a:ext cx="2114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Jairo Câmara de Carvalho Fil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Geral do Município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CRC-MA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2074</a:t>
          </a:r>
        </a:p>
      </xdr:txBody>
    </xdr:sp>
    <xdr:clientData/>
  </xdr:oneCellAnchor>
  <xdr:twoCellAnchor editAs="oneCell">
    <xdr:from>
      <xdr:col>0</xdr:col>
      <xdr:colOff>123825</xdr:colOff>
      <xdr:row>88</xdr:row>
      <xdr:rowOff>57150</xdr:rowOff>
    </xdr:from>
    <xdr:to>
      <xdr:col>1</xdr:col>
      <xdr:colOff>190500</xdr:colOff>
      <xdr:row>88</xdr:row>
      <xdr:rowOff>57150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078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609600</xdr:colOff>
      <xdr:row>5</xdr:row>
      <xdr:rowOff>28575</xdr:rowOff>
    </xdr:to>
    <xdr:pic>
      <xdr:nvPicPr>
        <xdr:cNvPr id="9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561975</xdr:colOff>
      <xdr:row>149</xdr:row>
      <xdr:rowOff>19050</xdr:rowOff>
    </xdr:from>
    <xdr:ext cx="2114550" cy="266700"/>
    <xdr:sp fLocksText="0">
      <xdr:nvSpPr>
        <xdr:cNvPr id="10" name="CaixaDeTexto 12"/>
        <xdr:cNvSpPr txBox="1">
          <a:spLocks noChangeArrowheads="1"/>
        </xdr:cNvSpPr>
      </xdr:nvSpPr>
      <xdr:spPr>
        <a:xfrm>
          <a:off x="1171575" y="39433500"/>
          <a:ext cx="211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819150</xdr:colOff>
      <xdr:row>148</xdr:row>
      <xdr:rowOff>133350</xdr:rowOff>
    </xdr:from>
    <xdr:ext cx="2047875" cy="266700"/>
    <xdr:sp fLocksText="0">
      <xdr:nvSpPr>
        <xdr:cNvPr id="11" name="CaixaDeTexto 13"/>
        <xdr:cNvSpPr txBox="1">
          <a:spLocks noChangeArrowheads="1"/>
        </xdr:cNvSpPr>
      </xdr:nvSpPr>
      <xdr:spPr>
        <a:xfrm>
          <a:off x="4762500" y="39385875"/>
          <a:ext cx="2047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2495550</xdr:colOff>
      <xdr:row>154</xdr:row>
      <xdr:rowOff>142875</xdr:rowOff>
    </xdr:from>
    <xdr:ext cx="2114550" cy="266700"/>
    <xdr:sp fLocksText="0">
      <xdr:nvSpPr>
        <xdr:cNvPr id="12" name="CaixaDeTexto 14"/>
        <xdr:cNvSpPr txBox="1">
          <a:spLocks noChangeArrowheads="1"/>
        </xdr:cNvSpPr>
      </xdr:nvSpPr>
      <xdr:spPr>
        <a:xfrm>
          <a:off x="3105150" y="40366950"/>
          <a:ext cx="211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+2&#186;+BI%20-%2028-05-2010%20-%2018H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%206&#186;%20BIMESTRE%20RREO%202009%20-%2025-02-2010%20sergi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LRF\LRF%204&#186;%20BIMESTRE%20RREO%202010%20-%20config%20assinaturas%20-%2013-10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tero\Desktop\LRF%206&#186;%20BIMESTRE%20RREO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RREO%20E%20RGF%202012\LRF%205&#186;%20BIMESTRE%20RREO%202012_PP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RF%201&#186;%20BIMESTRE%20RRE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%202005\LRF\2005\12_2005%20RRE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\LRF\2006\06_2006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\2008\REEO%2002_2008%20RR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%20-%203o%20bimest%202009\LRF\2008\REEO%2002_2008%20R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Plan1"/>
      <sheetName val="Anexo XVII _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_DP FUNC"/>
      <sheetName val="Anexo VI _ RES NOM"/>
    </sheetNames>
    <sheetDataSet>
      <sheetData sheetId="0">
        <row r="122">
          <cell r="A122" t="str">
            <v>a) Despesas liquidadas, consideradas aquelas em que houve a entrega do material ou serviço, nos termos do art. 63 da Lei 4.320/64;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b) Despesas empenhadas mas não liquidadas, inscritas em Restos a Pagar não-processados, consideradas liquidadas no encerramento do exercício, por força do art.35, inciso II da Lei 4.320/64.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</sheetData>
      <sheetData sheetId="1">
        <row r="43">
          <cell r="A43" t="str">
            <v>FONTE: SECRETARIA MUNICIPAL DA FAZENDA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PPP"/>
      <sheetName val="Anexo XVIII _ Simplificado"/>
    </sheetNames>
    <sheetDataSet>
      <sheetData sheetId="0">
        <row r="96">
          <cell r="A96" t="str">
            <v>FONTE: SECRETARIA MUNICIPAL DA FAZENDA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4">
        <row r="44">
          <cell r="A44" t="str">
            <v>FONTE: SECRETARIA MUNICIPAL DA FAZENDA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  <sheetDataSet>
      <sheetData sheetId="0">
        <row r="12">
          <cell r="G12">
            <v>84203360.22</v>
          </cell>
        </row>
        <row r="13">
          <cell r="G13">
            <v>707969.82</v>
          </cell>
        </row>
        <row r="14">
          <cell r="G14">
            <v>0</v>
          </cell>
        </row>
        <row r="16">
          <cell r="G16">
            <v>11347222.2</v>
          </cell>
        </row>
        <row r="17">
          <cell r="G17">
            <v>11552294.28</v>
          </cell>
        </row>
        <row r="19">
          <cell r="G19">
            <v>24616.75</v>
          </cell>
        </row>
        <row r="20">
          <cell r="G20">
            <v>5468455.75</v>
          </cell>
        </row>
        <row r="23">
          <cell r="G23">
            <v>20712.46</v>
          </cell>
        </row>
        <row r="25">
          <cell r="G25">
            <v>45119.82</v>
          </cell>
        </row>
        <row r="27">
          <cell r="G27">
            <v>262159527.88000003</v>
          </cell>
        </row>
        <row r="28">
          <cell r="G28">
            <v>0</v>
          </cell>
        </row>
        <row r="29">
          <cell r="G29">
            <v>1662854.05</v>
          </cell>
        </row>
        <row r="31">
          <cell r="G31">
            <v>3504992.53</v>
          </cell>
        </row>
        <row r="32">
          <cell r="G32">
            <v>0</v>
          </cell>
        </row>
        <row r="33">
          <cell r="G33">
            <v>5642699.18</v>
          </cell>
        </row>
        <row r="34">
          <cell r="G34">
            <v>2834034.67</v>
          </cell>
        </row>
        <row r="37">
          <cell r="G37">
            <v>0</v>
          </cell>
        </row>
        <row r="38">
          <cell r="G38">
            <v>0</v>
          </cell>
        </row>
        <row r="40">
          <cell r="G40">
            <v>0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599658.14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12399389.72</v>
          </cell>
        </row>
        <row r="52">
          <cell r="G52">
            <v>0</v>
          </cell>
        </row>
        <row r="53">
          <cell r="G53">
            <v>0</v>
          </cell>
        </row>
        <row r="55">
          <cell r="G55">
            <v>0</v>
          </cell>
        </row>
        <row r="74">
          <cell r="F74">
            <v>741101981</v>
          </cell>
          <cell r="H74">
            <v>154522866.35</v>
          </cell>
        </row>
        <row r="75">
          <cell r="F75">
            <v>2249979.07</v>
          </cell>
          <cell r="H75">
            <v>1095182.06</v>
          </cell>
        </row>
        <row r="76">
          <cell r="F76">
            <v>493505133.75</v>
          </cell>
          <cell r="H76">
            <v>100141213.8</v>
          </cell>
        </row>
        <row r="78">
          <cell r="F78">
            <v>33246286.67</v>
          </cell>
          <cell r="H78">
            <v>8335815.04</v>
          </cell>
        </row>
        <row r="79">
          <cell r="F79">
            <v>0</v>
          </cell>
          <cell r="H79">
            <v>0</v>
          </cell>
        </row>
        <row r="80">
          <cell r="F80">
            <v>9321236.25</v>
          </cell>
          <cell r="H80">
            <v>4276792.52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7">
          <cell r="F87">
            <v>0</v>
          </cell>
        </row>
        <row r="88">
          <cell r="F88">
            <v>0</v>
          </cell>
        </row>
        <row r="90">
          <cell r="F90">
            <v>0</v>
          </cell>
        </row>
        <row r="91">
          <cell r="F91">
            <v>0</v>
          </cell>
        </row>
      </sheetData>
      <sheetData sheetId="1">
        <row r="18">
          <cell r="F18">
            <v>520443</v>
          </cell>
          <cell r="H18">
            <v>109854.22</v>
          </cell>
        </row>
        <row r="21">
          <cell r="F21">
            <v>18687344.34</v>
          </cell>
          <cell r="H21">
            <v>2569581.41</v>
          </cell>
        </row>
        <row r="22">
          <cell r="F22">
            <v>207137098.65</v>
          </cell>
          <cell r="H22">
            <v>36681750.71</v>
          </cell>
        </row>
        <row r="23">
          <cell r="F23">
            <v>1273148.32</v>
          </cell>
          <cell r="H23">
            <v>509806.68</v>
          </cell>
        </row>
        <row r="25">
          <cell r="F25">
            <v>5155833.51</v>
          </cell>
          <cell r="H25">
            <v>709367.16</v>
          </cell>
        </row>
        <row r="26">
          <cell r="F26">
            <v>4000</v>
          </cell>
          <cell r="H26">
            <v>4000</v>
          </cell>
        </row>
        <row r="27">
          <cell r="F27">
            <v>2323565.76</v>
          </cell>
          <cell r="H27">
            <v>388091.58</v>
          </cell>
        </row>
        <row r="28">
          <cell r="F28">
            <v>14978000</v>
          </cell>
          <cell r="H28">
            <v>591823.15</v>
          </cell>
        </row>
        <row r="29">
          <cell r="F29">
            <v>0</v>
          </cell>
          <cell r="H29">
            <v>0</v>
          </cell>
        </row>
        <row r="33">
          <cell r="F33">
            <v>114626.67</v>
          </cell>
          <cell r="H33">
            <v>114626.67</v>
          </cell>
        </row>
        <row r="36">
          <cell r="F36">
            <v>13982014.79</v>
          </cell>
          <cell r="H36">
            <v>2385588.7</v>
          </cell>
        </row>
        <row r="39">
          <cell r="F39">
            <v>242063</v>
          </cell>
          <cell r="H39">
            <v>32804.8</v>
          </cell>
        </row>
        <row r="40">
          <cell r="F40">
            <v>7092540.14</v>
          </cell>
          <cell r="H40">
            <v>1354862.05</v>
          </cell>
        </row>
        <row r="44">
          <cell r="F44">
            <v>172600000</v>
          </cell>
          <cell r="H44">
            <v>27401341.01</v>
          </cell>
        </row>
        <row r="45">
          <cell r="F45">
            <v>7940530.94</v>
          </cell>
          <cell r="H45">
            <v>1987276.94</v>
          </cell>
        </row>
        <row r="47">
          <cell r="F47">
            <v>0</v>
          </cell>
          <cell r="H47">
            <v>0</v>
          </cell>
        </row>
        <row r="48">
          <cell r="F48">
            <v>234975787.6</v>
          </cell>
          <cell r="H48">
            <v>36104865.76</v>
          </cell>
        </row>
        <row r="52">
          <cell r="F52">
            <v>33630299.91</v>
          </cell>
          <cell r="H52">
            <v>6513942.63</v>
          </cell>
        </row>
        <row r="53">
          <cell r="F53">
            <v>193417661.97</v>
          </cell>
          <cell r="H53">
            <v>46739231.64</v>
          </cell>
        </row>
        <row r="54">
          <cell r="F54">
            <v>4494.2</v>
          </cell>
          <cell r="H54">
            <v>4494.2</v>
          </cell>
        </row>
        <row r="55">
          <cell r="F55">
            <v>12377693.48</v>
          </cell>
          <cell r="H55">
            <v>1597248.49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5">
          <cell r="F65">
            <v>108111938.59</v>
          </cell>
          <cell r="H65">
            <v>47497180.24</v>
          </cell>
        </row>
        <row r="66">
          <cell r="F66">
            <v>13543133.95</v>
          </cell>
          <cell r="H66">
            <v>4083855.38</v>
          </cell>
        </row>
        <row r="67">
          <cell r="F67">
            <v>2635472.57</v>
          </cell>
          <cell r="H67">
            <v>1680850.55</v>
          </cell>
        </row>
        <row r="68">
          <cell r="F68">
            <v>709305.58</v>
          </cell>
          <cell r="H68">
            <v>709305.58</v>
          </cell>
        </row>
        <row r="71">
          <cell r="F71">
            <v>8747763.11</v>
          </cell>
          <cell r="H71">
            <v>4074627.43</v>
          </cell>
        </row>
        <row r="73">
          <cell r="F73">
            <v>0</v>
          </cell>
          <cell r="H73">
            <v>0</v>
          </cell>
        </row>
        <row r="76">
          <cell r="F76">
            <v>1326322.98</v>
          </cell>
          <cell r="H76">
            <v>204372.66</v>
          </cell>
        </row>
        <row r="77">
          <cell r="F77">
            <v>2175964.18</v>
          </cell>
          <cell r="H77">
            <v>50400</v>
          </cell>
        </row>
        <row r="78">
          <cell r="F78">
            <v>33713.92</v>
          </cell>
          <cell r="H78">
            <v>33713.92</v>
          </cell>
        </row>
        <row r="92">
          <cell r="F92">
            <v>2777014.06</v>
          </cell>
          <cell r="H92">
            <v>378412.48</v>
          </cell>
        </row>
        <row r="93">
          <cell r="F93">
            <v>271004.37</v>
          </cell>
          <cell r="H93">
            <v>271004.37</v>
          </cell>
        </row>
        <row r="95">
          <cell r="F95">
            <v>31353694.11</v>
          </cell>
          <cell r="H95">
            <v>2232018.66</v>
          </cell>
        </row>
        <row r="96">
          <cell r="F96">
            <v>26191835.09</v>
          </cell>
          <cell r="H96">
            <v>8597956.01</v>
          </cell>
        </row>
        <row r="97">
          <cell r="F97">
            <v>0</v>
          </cell>
          <cell r="H97">
            <v>0</v>
          </cell>
        </row>
        <row r="99">
          <cell r="F99">
            <v>0</v>
          </cell>
          <cell r="H99">
            <v>0</v>
          </cell>
        </row>
        <row r="101">
          <cell r="F101">
            <v>74378059.17</v>
          </cell>
          <cell r="H101">
            <v>16756118.34</v>
          </cell>
        </row>
        <row r="102">
          <cell r="F102">
            <v>2280584.74</v>
          </cell>
          <cell r="H102">
            <v>6742</v>
          </cell>
        </row>
        <row r="107">
          <cell r="F107">
            <v>0</v>
          </cell>
          <cell r="H107">
            <v>0</v>
          </cell>
        </row>
        <row r="110">
          <cell r="F110">
            <v>0</v>
          </cell>
          <cell r="H110">
            <v>0</v>
          </cell>
        </row>
        <row r="112">
          <cell r="F112">
            <v>0</v>
          </cell>
          <cell r="H112">
            <v>0</v>
          </cell>
        </row>
        <row r="115">
          <cell r="F115">
            <v>2625922.07</v>
          </cell>
          <cell r="H115">
            <v>538351.82</v>
          </cell>
        </row>
        <row r="116">
          <cell r="F116">
            <v>1530160</v>
          </cell>
          <cell r="H116">
            <v>1530160</v>
          </cell>
        </row>
        <row r="120">
          <cell r="F120">
            <v>6244183.57</v>
          </cell>
          <cell r="H120">
            <v>987295.79</v>
          </cell>
        </row>
        <row r="122">
          <cell r="F122">
            <v>7162838.04</v>
          </cell>
          <cell r="H122">
            <v>652270.47</v>
          </cell>
        </row>
        <row r="124">
          <cell r="F124">
            <v>3502744.3</v>
          </cell>
          <cell r="H124">
            <v>539647.12</v>
          </cell>
        </row>
        <row r="126">
          <cell r="F126">
            <v>52841</v>
          </cell>
          <cell r="H126">
            <v>32381</v>
          </cell>
        </row>
        <row r="128">
          <cell r="F128">
            <v>47380272.41</v>
          </cell>
          <cell r="H128">
            <v>5617624.29</v>
          </cell>
        </row>
        <row r="129">
          <cell r="F129">
            <v>1015023.73</v>
          </cell>
          <cell r="H129">
            <v>498868.27</v>
          </cell>
        </row>
        <row r="130">
          <cell r="F130">
            <v>8917678.92</v>
          </cell>
          <cell r="H130">
            <v>5598155.59</v>
          </cell>
        </row>
        <row r="133">
          <cell r="F133">
            <v>0</v>
          </cell>
          <cell r="H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09"/>
  <sheetViews>
    <sheetView showGridLines="0" view="pageBreakPreview" zoomScale="85" zoomScaleSheetLayoutView="85" zoomScalePageLayoutView="0" workbookViewId="0" topLeftCell="A94">
      <selection activeCell="M65" sqref="M65"/>
    </sheetView>
  </sheetViews>
  <sheetFormatPr defaultColWidth="6.140625" defaultRowHeight="15.75" customHeight="1"/>
  <cols>
    <col min="1" max="1" width="45.140625" style="32" customWidth="1"/>
    <col min="2" max="2" width="18.421875" style="2" customWidth="1"/>
    <col min="3" max="3" width="19.7109375" style="2" customWidth="1"/>
    <col min="4" max="4" width="17.00390625" style="2" customWidth="1"/>
    <col min="5" max="5" width="18.28125" style="2" customWidth="1"/>
    <col min="6" max="6" width="19.421875" style="2" customWidth="1"/>
    <col min="7" max="7" width="17.421875" style="2" customWidth="1"/>
    <col min="8" max="8" width="19.421875" style="2" customWidth="1"/>
    <col min="9" max="9" width="18.7109375" style="2" customWidth="1"/>
    <col min="10" max="10" width="17.7109375" style="2" customWidth="1"/>
    <col min="11" max="11" width="18.42187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2" ht="18.75" customHeight="1">
      <c r="A1" s="65" t="s">
        <v>0</v>
      </c>
      <c r="B1" s="65"/>
      <c r="C1" s="65"/>
      <c r="D1" s="65"/>
      <c r="E1" s="65"/>
      <c r="F1" s="435"/>
      <c r="G1" s="1399"/>
      <c r="H1" s="1399"/>
      <c r="I1" s="4"/>
      <c r="J1" s="65"/>
      <c r="K1" s="65"/>
      <c r="L1" s="5"/>
    </row>
    <row r="2" spans="1:12" ht="18.75" customHeight="1">
      <c r="A2" s="66" t="s">
        <v>1</v>
      </c>
      <c r="B2" s="66"/>
      <c r="C2" s="66"/>
      <c r="D2" s="66"/>
      <c r="E2" s="66"/>
      <c r="F2" s="436"/>
      <c r="G2" s="66"/>
      <c r="H2" s="66"/>
      <c r="I2" s="66"/>
      <c r="J2" s="66"/>
      <c r="K2" s="66"/>
      <c r="L2" s="5"/>
    </row>
    <row r="3" spans="1:12" ht="18.75" customHeight="1">
      <c r="A3" s="67" t="s">
        <v>2</v>
      </c>
      <c r="B3" s="67"/>
      <c r="C3" s="67"/>
      <c r="D3" s="67"/>
      <c r="E3" s="67"/>
      <c r="F3" s="437"/>
      <c r="G3" s="6"/>
      <c r="H3" s="611" t="s">
        <v>950</v>
      </c>
      <c r="I3" s="612"/>
      <c r="J3" s="612"/>
      <c r="K3" s="613"/>
      <c r="L3" s="5"/>
    </row>
    <row r="4" spans="1:12" ht="18.75" customHeight="1">
      <c r="A4" s="1406" t="s">
        <v>932</v>
      </c>
      <c r="B4" s="1406"/>
      <c r="C4" s="1406"/>
      <c r="D4" s="1406"/>
      <c r="E4" s="1406"/>
      <c r="F4" s="1406"/>
      <c r="G4" s="6"/>
      <c r="H4" s="546" t="s">
        <v>951</v>
      </c>
      <c r="I4" s="546"/>
      <c r="J4" s="7"/>
      <c r="K4" s="7"/>
      <c r="L4" s="5"/>
    </row>
    <row r="5" spans="1:12" ht="18.75" customHeight="1">
      <c r="A5" s="68" t="s">
        <v>647</v>
      </c>
      <c r="B5" s="6"/>
      <c r="C5" s="6"/>
      <c r="D5" s="6"/>
      <c r="E5" s="6"/>
      <c r="F5" s="6"/>
      <c r="G5" s="6"/>
      <c r="H5" s="484"/>
      <c r="I5" s="8"/>
      <c r="J5" s="9"/>
      <c r="K5" s="10" t="s">
        <v>539</v>
      </c>
      <c r="L5" s="384"/>
    </row>
    <row r="6" spans="1:12" ht="30.75" customHeight="1">
      <c r="A6" s="1436" t="s">
        <v>3</v>
      </c>
      <c r="B6" s="1409" t="s">
        <v>4</v>
      </c>
      <c r="C6" s="1409" t="s">
        <v>5</v>
      </c>
      <c r="D6" s="1407" t="s">
        <v>6</v>
      </c>
      <c r="E6" s="1407"/>
      <c r="F6" s="1407"/>
      <c r="G6" s="1407"/>
      <c r="H6" s="1407"/>
      <c r="I6" s="11"/>
      <c r="J6" s="12"/>
      <c r="K6" s="1323" t="s">
        <v>298</v>
      </c>
      <c r="L6" s="5"/>
    </row>
    <row r="7" spans="1:12" ht="13.5" customHeight="1">
      <c r="A7" s="1437"/>
      <c r="B7" s="1439"/>
      <c r="C7" s="1439"/>
      <c r="D7" s="1408" t="s">
        <v>7</v>
      </c>
      <c r="E7" s="1408"/>
      <c r="F7" s="13" t="s">
        <v>8</v>
      </c>
      <c r="G7" s="1409" t="s">
        <v>9</v>
      </c>
      <c r="H7" s="1409"/>
      <c r="I7" s="1409"/>
      <c r="J7" s="13" t="s">
        <v>8</v>
      </c>
      <c r="K7" s="13"/>
      <c r="L7" s="5"/>
    </row>
    <row r="8" spans="1:12" ht="15.75" customHeight="1">
      <c r="A8" s="1438"/>
      <c r="B8" s="1401"/>
      <c r="C8" s="14" t="s">
        <v>10</v>
      </c>
      <c r="D8" s="1410" t="s">
        <v>11</v>
      </c>
      <c r="E8" s="1410"/>
      <c r="F8" s="15" t="s">
        <v>12</v>
      </c>
      <c r="G8" s="1401" t="s">
        <v>13</v>
      </c>
      <c r="H8" s="1401"/>
      <c r="I8" s="1401"/>
      <c r="J8" s="15" t="s">
        <v>14</v>
      </c>
      <c r="K8" s="13" t="s">
        <v>15</v>
      </c>
      <c r="L8" s="5"/>
    </row>
    <row r="9" spans="1:13" ht="24" customHeight="1">
      <c r="A9" s="438" t="s">
        <v>797</v>
      </c>
      <c r="B9" s="16">
        <f>B10+B35</f>
        <v>2619499768</v>
      </c>
      <c r="C9" s="17">
        <f>C10+C35</f>
        <v>2640632238.13</v>
      </c>
      <c r="D9" s="1411">
        <f>D10+D35</f>
        <v>380929275.1199999</v>
      </c>
      <c r="E9" s="1412"/>
      <c r="F9" s="18">
        <f>D9/C9*100</f>
        <v>14.42568448644557</v>
      </c>
      <c r="G9" s="1413">
        <f>G10+G35</f>
        <v>770702792.87</v>
      </c>
      <c r="H9" s="1413"/>
      <c r="I9" s="1413"/>
      <c r="J9" s="19">
        <f>G9/C9*100</f>
        <v>29.18629795324258</v>
      </c>
      <c r="K9" s="17">
        <f>K10+K35</f>
        <v>1869929445.26</v>
      </c>
      <c r="L9" s="553"/>
      <c r="M9" s="554"/>
    </row>
    <row r="10" spans="1:15" s="26" customFormat="1" ht="18.75" customHeight="1">
      <c r="A10" s="20" t="s">
        <v>16</v>
      </c>
      <c r="B10" s="21">
        <f>B11+B15+B18+B24+B26+B30</f>
        <v>2456541716</v>
      </c>
      <c r="C10" s="21">
        <f>C11+C15+C18+C24+C26+C30</f>
        <v>2477674186.13</v>
      </c>
      <c r="D10" s="1414">
        <f>D11+D15+D18+D24+D26+D30</f>
        <v>378373592.5599999</v>
      </c>
      <c r="E10" s="1414">
        <f>E11+E15+E18+E24+E26+E30</f>
        <v>0</v>
      </c>
      <c r="F10" s="22">
        <f>D10/C10*100</f>
        <v>15.271321575618463</v>
      </c>
      <c r="G10" s="1414">
        <f>G11+G15+G18+G24+G26+G30</f>
        <v>767547452.17</v>
      </c>
      <c r="H10" s="1414"/>
      <c r="I10" s="1414"/>
      <c r="J10" s="21">
        <f>G10/C10*100</f>
        <v>30.97854659287829</v>
      </c>
      <c r="K10" s="23">
        <f>K11+K15+K18+K24+K26+K30</f>
        <v>1710126733.96</v>
      </c>
      <c r="L10" s="41"/>
      <c r="M10" s="25"/>
      <c r="N10" s="25"/>
      <c r="O10" s="25"/>
    </row>
    <row r="11" spans="1:15" s="26" customFormat="1" ht="18.75" customHeight="1">
      <c r="A11" s="537" t="s">
        <v>17</v>
      </c>
      <c r="B11" s="589">
        <f>B12+B13+B14</f>
        <v>652506865</v>
      </c>
      <c r="C11" s="21">
        <f>C12+C13+C14</f>
        <v>652506865</v>
      </c>
      <c r="D11" s="1415">
        <f>D12+D13+D14</f>
        <v>88760318.71000001</v>
      </c>
      <c r="E11" s="1415"/>
      <c r="F11" s="22">
        <f>D11/C11*100</f>
        <v>13.602970860697383</v>
      </c>
      <c r="G11" s="1416">
        <f>G12+G13+G14</f>
        <v>173671648.75</v>
      </c>
      <c r="H11" s="1416"/>
      <c r="I11" s="1416"/>
      <c r="J11" s="21">
        <f>G11/C11*100</f>
        <v>26.616064606462032</v>
      </c>
      <c r="K11" s="38">
        <f>K12+K13+K14</f>
        <v>478835216.25</v>
      </c>
      <c r="L11" s="594"/>
      <c r="M11" s="25"/>
      <c r="N11" s="25"/>
      <c r="O11" s="25"/>
    </row>
    <row r="12" spans="1:15" s="32" customFormat="1" ht="18.75" customHeight="1">
      <c r="A12" s="33" t="s">
        <v>18</v>
      </c>
      <c r="B12" s="27">
        <v>634982833</v>
      </c>
      <c r="C12" s="27">
        <f>B12</f>
        <v>634982833</v>
      </c>
      <c r="D12" s="1417">
        <f>G12-'[17]Anexo 1 _ BAL ORC'!G12</f>
        <v>82040521.34</v>
      </c>
      <c r="E12" s="1418"/>
      <c r="F12" s="28">
        <f>D12/C12*100</f>
        <v>12.920116430927198</v>
      </c>
      <c r="G12" s="1419">
        <f>166314961.95-71080.39</f>
        <v>166243881.56</v>
      </c>
      <c r="H12" s="1419"/>
      <c r="I12" s="1419"/>
      <c r="J12" s="27">
        <f>G12/C12*100</f>
        <v>26.1808466182581</v>
      </c>
      <c r="K12" s="29">
        <f>C12-G12</f>
        <v>468738951.44</v>
      </c>
      <c r="L12" s="383"/>
      <c r="M12" s="82"/>
      <c r="N12" s="31"/>
      <c r="O12" s="31"/>
    </row>
    <row r="13" spans="1:15" s="32" customFormat="1" ht="18.75" customHeight="1">
      <c r="A13" s="33" t="s">
        <v>19</v>
      </c>
      <c r="B13" s="27">
        <v>17524032</v>
      </c>
      <c r="C13" s="971">
        <f>B13</f>
        <v>17524032</v>
      </c>
      <c r="D13" s="1417">
        <f>G13-'[17]Anexo 1 _ BAL ORC'!G13</f>
        <v>6719797.369999999</v>
      </c>
      <c r="E13" s="1418"/>
      <c r="F13" s="28">
        <f>D13/C13*100</f>
        <v>38.34618294465565</v>
      </c>
      <c r="G13" s="1419">
        <f>7503027.76-75260.57</f>
        <v>7427767.1899999995</v>
      </c>
      <c r="H13" s="1419"/>
      <c r="I13" s="1419"/>
      <c r="J13" s="27">
        <f>G13/C13*100</f>
        <v>42.386176822776854</v>
      </c>
      <c r="K13" s="29">
        <f>C13-G13</f>
        <v>10096264.81</v>
      </c>
      <c r="L13" s="30"/>
      <c r="M13" s="31"/>
      <c r="N13" s="31"/>
      <c r="O13" s="31"/>
    </row>
    <row r="14" spans="1:15" s="32" customFormat="1" ht="18.75" customHeight="1">
      <c r="A14" s="33" t="s">
        <v>20</v>
      </c>
      <c r="B14" s="34">
        <v>0</v>
      </c>
      <c r="C14" s="34">
        <f>B14</f>
        <v>0</v>
      </c>
      <c r="D14" s="1417">
        <f>G14-'[17]Anexo 1 _ BAL ORC'!G14</f>
        <v>0</v>
      </c>
      <c r="E14" s="1418"/>
      <c r="F14" s="940"/>
      <c r="G14" s="1419">
        <v>0</v>
      </c>
      <c r="H14" s="1419"/>
      <c r="I14" s="1419"/>
      <c r="J14" s="27">
        <v>0</v>
      </c>
      <c r="K14" s="29">
        <f>C14-G14</f>
        <v>0</v>
      </c>
      <c r="L14" s="30"/>
      <c r="M14" s="31"/>
      <c r="N14" s="31"/>
      <c r="O14" s="31"/>
    </row>
    <row r="15" spans="1:15" s="26" customFormat="1" ht="18.75" customHeight="1">
      <c r="A15" s="537" t="s">
        <v>22</v>
      </c>
      <c r="B15" s="21">
        <f>B16+B17</f>
        <v>137827629</v>
      </c>
      <c r="C15" s="21">
        <f>C16+C17</f>
        <v>137827629</v>
      </c>
      <c r="D15" s="1415">
        <f>D16+D17</f>
        <v>23281759</v>
      </c>
      <c r="E15" s="1415"/>
      <c r="F15" s="22">
        <f aca="true" t="shared" si="0" ref="F15:F20">D15/C15*100</f>
        <v>16.891938988517317</v>
      </c>
      <c r="G15" s="1416">
        <f>G16+G17</f>
        <v>46181275.480000004</v>
      </c>
      <c r="H15" s="1416"/>
      <c r="I15" s="1416"/>
      <c r="J15" s="21">
        <f aca="true" t="shared" si="1" ref="J15:J20">G15/C15*100</f>
        <v>33.506544235771486</v>
      </c>
      <c r="K15" s="38">
        <f>K16+K17</f>
        <v>91646353.52</v>
      </c>
      <c r="L15" s="24"/>
      <c r="M15" s="25"/>
      <c r="N15" s="25"/>
      <c r="O15" s="25"/>
    </row>
    <row r="16" spans="1:15" s="32" customFormat="1" ht="18.75" customHeight="1">
      <c r="A16" s="33" t="s">
        <v>23</v>
      </c>
      <c r="B16" s="27">
        <v>69590717</v>
      </c>
      <c r="C16" s="27">
        <f>B16</f>
        <v>69590717</v>
      </c>
      <c r="D16" s="1417">
        <f>G16-'[17]Anexo 1 _ BAL ORC'!G16</f>
        <v>11447398.91</v>
      </c>
      <c r="E16" s="1418"/>
      <c r="F16" s="28">
        <f t="shared" si="0"/>
        <v>16.44960621687516</v>
      </c>
      <c r="G16" s="1419">
        <v>22794621.11</v>
      </c>
      <c r="H16" s="1419"/>
      <c r="I16" s="1419"/>
      <c r="J16" s="27">
        <f t="shared" si="1"/>
        <v>32.75526117944725</v>
      </c>
      <c r="K16" s="29">
        <f>C16-G16</f>
        <v>46796095.89</v>
      </c>
      <c r="L16" s="30"/>
      <c r="M16" s="31"/>
      <c r="N16" s="31"/>
      <c r="O16" s="31"/>
    </row>
    <row r="17" spans="1:15" s="32" customFormat="1" ht="18.75" customHeight="1">
      <c r="A17" s="33" t="s">
        <v>802</v>
      </c>
      <c r="B17" s="27">
        <v>68236912</v>
      </c>
      <c r="C17" s="27">
        <f>B17</f>
        <v>68236912</v>
      </c>
      <c r="D17" s="1417">
        <f>G17-'[17]Anexo 1 _ BAL ORC'!G17</f>
        <v>11834360.090000002</v>
      </c>
      <c r="E17" s="1418"/>
      <c r="F17" s="28">
        <f t="shared" si="0"/>
        <v>17.343047542948607</v>
      </c>
      <c r="G17" s="1419">
        <v>23386654.37</v>
      </c>
      <c r="H17" s="1419"/>
      <c r="I17" s="1419"/>
      <c r="J17" s="27">
        <f t="shared" si="1"/>
        <v>34.272732579106155</v>
      </c>
      <c r="K17" s="29">
        <f>C17-G17</f>
        <v>44850257.629999995</v>
      </c>
      <c r="L17" s="30"/>
      <c r="M17" s="31"/>
      <c r="N17" s="31"/>
      <c r="O17" s="31"/>
    </row>
    <row r="18" spans="1:15" s="26" customFormat="1" ht="18.75" customHeight="1">
      <c r="A18" s="537" t="s">
        <v>24</v>
      </c>
      <c r="B18" s="21">
        <f>B19+B20+B23+B22+B21</f>
        <v>39189925</v>
      </c>
      <c r="C18" s="21">
        <f>C19+C20+C23+C22+C21</f>
        <v>39189925</v>
      </c>
      <c r="D18" s="1420">
        <f>SUM(D19:D23)</f>
        <v>6176565.1499999985</v>
      </c>
      <c r="E18" s="1421"/>
      <c r="F18" s="22">
        <f t="shared" si="0"/>
        <v>15.760594464010836</v>
      </c>
      <c r="G18" s="1416">
        <f>SUM(G19:G23)</f>
        <v>11690350.11</v>
      </c>
      <c r="H18" s="1416"/>
      <c r="I18" s="1416"/>
      <c r="J18" s="21">
        <f t="shared" si="1"/>
        <v>29.829988472802636</v>
      </c>
      <c r="K18" s="38">
        <f>SUM(K19:K23)</f>
        <v>27499574.889999997</v>
      </c>
      <c r="L18" s="24"/>
      <c r="M18" s="25"/>
      <c r="N18" s="25"/>
      <c r="O18" s="25"/>
    </row>
    <row r="19" spans="1:15" s="32" customFormat="1" ht="18.75" customHeight="1">
      <c r="A19" s="33" t="s">
        <v>25</v>
      </c>
      <c r="B19" s="27">
        <v>257262</v>
      </c>
      <c r="C19" s="27">
        <f>B19</f>
        <v>257262</v>
      </c>
      <c r="D19" s="1417">
        <f>G19-'[17]Anexo 1 _ BAL ORC'!G19</f>
        <v>28759.85</v>
      </c>
      <c r="E19" s="1418"/>
      <c r="F19" s="28">
        <f t="shared" si="0"/>
        <v>11.179206412140152</v>
      </c>
      <c r="G19" s="1419">
        <v>53376.6</v>
      </c>
      <c r="H19" s="1419"/>
      <c r="I19" s="1419"/>
      <c r="J19" s="27">
        <f t="shared" si="1"/>
        <v>20.747953448235652</v>
      </c>
      <c r="K19" s="29">
        <f>C19-G19</f>
        <v>203885.4</v>
      </c>
      <c r="L19" s="30"/>
      <c r="M19" s="31"/>
      <c r="N19" s="31"/>
      <c r="O19" s="31"/>
    </row>
    <row r="20" spans="1:15" s="32" customFormat="1" ht="18.75" customHeight="1">
      <c r="A20" s="33" t="s">
        <v>26</v>
      </c>
      <c r="B20" s="27">
        <v>38812603</v>
      </c>
      <c r="C20" s="27">
        <f>B20</f>
        <v>38812603</v>
      </c>
      <c r="D20" s="1417">
        <f>G20-'[17]Anexo 1 _ BAL ORC'!G20</f>
        <v>4289802.529999999</v>
      </c>
      <c r="E20" s="1418"/>
      <c r="F20" s="28">
        <f t="shared" si="0"/>
        <v>11.052601986009543</v>
      </c>
      <c r="G20" s="1419">
        <v>9758258.28</v>
      </c>
      <c r="H20" s="1419"/>
      <c r="I20" s="1419"/>
      <c r="J20" s="27">
        <f t="shared" si="1"/>
        <v>25.141983597441275</v>
      </c>
      <c r="K20" s="29">
        <f>C20-G20</f>
        <v>29054344.72</v>
      </c>
      <c r="L20" s="383"/>
      <c r="M20" s="31"/>
      <c r="N20" s="31"/>
      <c r="O20" s="31"/>
    </row>
    <row r="21" spans="1:15" s="32" customFormat="1" ht="18.75" customHeight="1">
      <c r="A21" s="33" t="s">
        <v>27</v>
      </c>
      <c r="B21" s="27"/>
      <c r="C21" s="27"/>
      <c r="D21" s="1417"/>
      <c r="E21" s="1418"/>
      <c r="F21" s="940"/>
      <c r="G21" s="1419">
        <v>0</v>
      </c>
      <c r="H21" s="1419"/>
      <c r="I21" s="1419"/>
      <c r="J21" s="27">
        <v>0</v>
      </c>
      <c r="K21" s="29">
        <f aca="true" t="shared" si="2" ref="K21:K31">C21-G21</f>
        <v>0</v>
      </c>
      <c r="L21" s="30"/>
      <c r="M21" s="31"/>
      <c r="N21" s="31"/>
      <c r="O21" s="31"/>
    </row>
    <row r="22" spans="1:15" s="32" customFormat="1" ht="18.75" customHeight="1">
      <c r="A22" s="33" t="s">
        <v>28</v>
      </c>
      <c r="B22" s="34"/>
      <c r="C22" s="34"/>
      <c r="D22" s="1417"/>
      <c r="E22" s="1418"/>
      <c r="F22" s="940"/>
      <c r="G22" s="1419">
        <v>0</v>
      </c>
      <c r="H22" s="1419"/>
      <c r="I22" s="1419"/>
      <c r="J22" s="27">
        <v>0</v>
      </c>
      <c r="K22" s="29">
        <f t="shared" si="2"/>
        <v>0</v>
      </c>
      <c r="L22" s="30"/>
      <c r="M22" s="31"/>
      <c r="N22" s="31"/>
      <c r="O22" s="31"/>
    </row>
    <row r="23" spans="1:15" s="32" customFormat="1" ht="18.75" customHeight="1">
      <c r="A23" s="33" t="s">
        <v>29</v>
      </c>
      <c r="B23" s="34">
        <v>120060</v>
      </c>
      <c r="C23" s="27">
        <f>B23</f>
        <v>120060</v>
      </c>
      <c r="D23" s="1417">
        <f>G23-'[17]Anexo 1 _ BAL ORC'!G23</f>
        <v>1858002.77</v>
      </c>
      <c r="E23" s="1418"/>
      <c r="F23" s="28">
        <f aca="true" t="shared" si="3" ref="F23:F32">D23/C23*100</f>
        <v>1547.5618607362985</v>
      </c>
      <c r="G23" s="1419">
        <v>1878715.23</v>
      </c>
      <c r="H23" s="1419"/>
      <c r="I23" s="1419"/>
      <c r="J23" s="27">
        <f aca="true" t="shared" si="4" ref="J23:J31">G23/C23*100</f>
        <v>1564.8136181909044</v>
      </c>
      <c r="K23" s="29">
        <f t="shared" si="2"/>
        <v>-1758655.23</v>
      </c>
      <c r="L23" s="523"/>
      <c r="M23" s="31"/>
      <c r="N23" s="31"/>
      <c r="O23" s="31"/>
    </row>
    <row r="24" spans="1:15" s="26" customFormat="1" ht="18.75" customHeight="1">
      <c r="A24" s="537" t="s">
        <v>30</v>
      </c>
      <c r="B24" s="21">
        <f>B25</f>
        <v>150102</v>
      </c>
      <c r="C24" s="21">
        <f>C25</f>
        <v>150102</v>
      </c>
      <c r="D24" s="1415">
        <f>D25</f>
        <v>82950.38</v>
      </c>
      <c r="E24" s="1415"/>
      <c r="F24" s="22">
        <f t="shared" si="3"/>
        <v>55.26267471452746</v>
      </c>
      <c r="G24" s="1416">
        <f>G25</f>
        <v>128070.2</v>
      </c>
      <c r="H24" s="1416"/>
      <c r="I24" s="1416"/>
      <c r="J24" s="21">
        <f t="shared" si="4"/>
        <v>85.32211429561232</v>
      </c>
      <c r="K24" s="38">
        <f>K25</f>
        <v>22031.800000000003</v>
      </c>
      <c r="L24" s="24"/>
      <c r="M24" s="25"/>
      <c r="N24" s="25"/>
      <c r="O24" s="25"/>
    </row>
    <row r="25" spans="1:15" s="32" customFormat="1" ht="18.75" customHeight="1">
      <c r="A25" s="33" t="s">
        <v>31</v>
      </c>
      <c r="B25" s="27">
        <v>150102</v>
      </c>
      <c r="C25" s="27">
        <f>B25</f>
        <v>150102</v>
      </c>
      <c r="D25" s="1417">
        <f>G25-'[17]Anexo 1 _ BAL ORC'!G25</f>
        <v>82950.38</v>
      </c>
      <c r="E25" s="1418"/>
      <c r="F25" s="28">
        <f t="shared" si="3"/>
        <v>55.26267471452746</v>
      </c>
      <c r="G25" s="1419">
        <v>128070.2</v>
      </c>
      <c r="H25" s="1419"/>
      <c r="I25" s="1419"/>
      <c r="J25" s="27">
        <f t="shared" si="4"/>
        <v>85.32211429561232</v>
      </c>
      <c r="K25" s="29">
        <f t="shared" si="2"/>
        <v>22031.800000000003</v>
      </c>
      <c r="L25" s="30"/>
      <c r="M25" s="31"/>
      <c r="N25" s="31"/>
      <c r="O25" s="31"/>
    </row>
    <row r="26" spans="1:15" s="26" customFormat="1" ht="18.75" customHeight="1">
      <c r="A26" s="537" t="s">
        <v>32</v>
      </c>
      <c r="B26" s="21">
        <f>B27+B28+B29</f>
        <v>1563409516</v>
      </c>
      <c r="C26" s="21">
        <f>C27+C28+C29</f>
        <v>1584541986.13</v>
      </c>
      <c r="D26" s="1415">
        <f>D27+D28+D29</f>
        <v>249009099.10999992</v>
      </c>
      <c r="E26" s="1415"/>
      <c r="F26" s="22">
        <f t="shared" si="3"/>
        <v>15.714894353677956</v>
      </c>
      <c r="G26" s="1416">
        <f>SUM(G27:G29)</f>
        <v>512831481.03999996</v>
      </c>
      <c r="H26" s="1416"/>
      <c r="I26" s="1416"/>
      <c r="J26" s="21">
        <f t="shared" si="4"/>
        <v>32.36465082837672</v>
      </c>
      <c r="K26" s="38">
        <f>SUM(K27:K29)</f>
        <v>1071710505.09</v>
      </c>
      <c r="L26" s="586"/>
      <c r="M26" s="598"/>
      <c r="N26" s="25"/>
      <c r="O26" s="25"/>
    </row>
    <row r="27" spans="1:15" s="32" customFormat="1" ht="18.75" customHeight="1">
      <c r="A27" s="33" t="s">
        <v>33</v>
      </c>
      <c r="B27" s="27">
        <f>1766861007-221883709</f>
        <v>1544977298</v>
      </c>
      <c r="C27" s="27">
        <f>B27</f>
        <v>1544977298</v>
      </c>
      <c r="D27" s="1417">
        <f>G27-'[17]Anexo 1 _ BAL ORC'!G27</f>
        <v>248078748.35999992</v>
      </c>
      <c r="E27" s="1418"/>
      <c r="F27" s="28">
        <f t="shared" si="3"/>
        <v>16.057112857330797</v>
      </c>
      <c r="G27" s="1419">
        <f>575517381.31-65279105.07</f>
        <v>510238276.23999995</v>
      </c>
      <c r="H27" s="1419"/>
      <c r="I27" s="1419"/>
      <c r="J27" s="27">
        <f t="shared" si="4"/>
        <v>33.02561642171133</v>
      </c>
      <c r="K27" s="29">
        <f t="shared" si="2"/>
        <v>1034739021.76</v>
      </c>
      <c r="L27" s="36"/>
      <c r="M27" s="28"/>
      <c r="N27" s="31"/>
      <c r="O27" s="31"/>
    </row>
    <row r="28" spans="1:15" s="32" customFormat="1" ht="18.75" customHeight="1">
      <c r="A28" s="33" t="s">
        <v>34</v>
      </c>
      <c r="B28" s="27">
        <v>841200</v>
      </c>
      <c r="C28" s="27">
        <f>B28</f>
        <v>841200</v>
      </c>
      <c r="D28" s="1417">
        <f>G28-'[17]Anexo 1 _ BAL ORC'!G28</f>
        <v>10000</v>
      </c>
      <c r="E28" s="1418"/>
      <c r="F28" s="28">
        <f t="shared" si="3"/>
        <v>1.1887779362815025</v>
      </c>
      <c r="G28" s="1419">
        <v>10000</v>
      </c>
      <c r="H28" s="1419"/>
      <c r="I28" s="1419"/>
      <c r="J28" s="27">
        <f t="shared" si="4"/>
        <v>1.1887779362815025</v>
      </c>
      <c r="K28" s="29">
        <f t="shared" si="2"/>
        <v>831200</v>
      </c>
      <c r="L28" s="36"/>
      <c r="M28" s="581"/>
      <c r="N28" s="31"/>
      <c r="O28" s="31"/>
    </row>
    <row r="29" spans="1:15" s="32" customFormat="1" ht="18.75" customHeight="1">
      <c r="A29" s="33" t="s">
        <v>35</v>
      </c>
      <c r="B29" s="27">
        <v>17591018</v>
      </c>
      <c r="C29" s="27">
        <v>38723488.13</v>
      </c>
      <c r="D29" s="1417">
        <f>G29-'[17]Anexo 1 _ BAL ORC'!G29</f>
        <v>920350.7499999998</v>
      </c>
      <c r="E29" s="1418"/>
      <c r="F29" s="28">
        <f t="shared" si="3"/>
        <v>2.3767248108183265</v>
      </c>
      <c r="G29" s="1419">
        <v>2583204.8</v>
      </c>
      <c r="H29" s="1419"/>
      <c r="I29" s="1419"/>
      <c r="J29" s="27">
        <f t="shared" si="4"/>
        <v>6.6708990453748145</v>
      </c>
      <c r="K29" s="29">
        <f t="shared" si="2"/>
        <v>36140283.330000006</v>
      </c>
      <c r="L29" s="36"/>
      <c r="M29" s="581"/>
      <c r="N29" s="31"/>
      <c r="O29" s="31"/>
    </row>
    <row r="30" spans="1:15" s="26" customFormat="1" ht="18.75" customHeight="1">
      <c r="A30" s="537" t="s">
        <v>36</v>
      </c>
      <c r="B30" s="21">
        <f>B31+B32+B33+B34</f>
        <v>63457679</v>
      </c>
      <c r="C30" s="21">
        <f>C31+C32+C33+C34</f>
        <v>63457679</v>
      </c>
      <c r="D30" s="1422">
        <f>D31+D32+D33+D34</f>
        <v>11062900.21</v>
      </c>
      <c r="E30" s="1423"/>
      <c r="F30" s="22">
        <f>D30/C30*100</f>
        <v>17.433509047817523</v>
      </c>
      <c r="G30" s="1416">
        <f>G31+G32+G33+G34</f>
        <v>23044626.59</v>
      </c>
      <c r="H30" s="1416"/>
      <c r="I30" s="1416"/>
      <c r="J30" s="21">
        <f t="shared" si="4"/>
        <v>36.314953451102426</v>
      </c>
      <c r="K30" s="38">
        <f>K31+K32+K33+K34</f>
        <v>40413052.410000004</v>
      </c>
      <c r="L30" s="1029"/>
      <c r="M30" s="587"/>
      <c r="N30" s="378"/>
      <c r="O30" s="378"/>
    </row>
    <row r="31" spans="1:15" s="32" customFormat="1" ht="18.75" customHeight="1">
      <c r="A31" s="33" t="s">
        <v>37</v>
      </c>
      <c r="B31" s="27">
        <v>22098055</v>
      </c>
      <c r="C31" s="27">
        <f>B31</f>
        <v>22098055</v>
      </c>
      <c r="D31" s="1417">
        <f>G31-'[17]Anexo 1 _ BAL ORC'!G31</f>
        <v>5458241.6000000015</v>
      </c>
      <c r="E31" s="1418"/>
      <c r="F31" s="28">
        <f t="shared" si="3"/>
        <v>24.70009962415245</v>
      </c>
      <c r="G31" s="1419">
        <v>8963234.13</v>
      </c>
      <c r="H31" s="1419"/>
      <c r="I31" s="1419"/>
      <c r="J31" s="27">
        <f t="shared" si="4"/>
        <v>40.561190249549114</v>
      </c>
      <c r="K31" s="29">
        <f t="shared" si="2"/>
        <v>13134820.87</v>
      </c>
      <c r="L31" s="376"/>
      <c r="M31" s="22"/>
      <c r="N31" s="31"/>
      <c r="O31" s="31"/>
    </row>
    <row r="32" spans="1:15" s="32" customFormat="1" ht="18.75" customHeight="1">
      <c r="A32" s="33" t="s">
        <v>38</v>
      </c>
      <c r="B32" s="27">
        <v>354096</v>
      </c>
      <c r="C32" s="27">
        <f>B32</f>
        <v>354096</v>
      </c>
      <c r="D32" s="1417">
        <f>G32-'[17]Anexo 1 _ BAL ORC'!G32</f>
        <v>0</v>
      </c>
      <c r="E32" s="1418"/>
      <c r="F32" s="28">
        <f t="shared" si="3"/>
        <v>0</v>
      </c>
      <c r="G32" s="1419">
        <v>0</v>
      </c>
      <c r="H32" s="1419"/>
      <c r="I32" s="1419"/>
      <c r="J32" s="27">
        <v>0</v>
      </c>
      <c r="K32" s="29">
        <f>C32-G32</f>
        <v>354096</v>
      </c>
      <c r="L32" s="383"/>
      <c r="M32" s="31"/>
      <c r="N32" s="31"/>
      <c r="O32" s="31"/>
    </row>
    <row r="33" spans="1:15" s="32" customFormat="1" ht="18.75" customHeight="1">
      <c r="A33" s="33" t="s">
        <v>39</v>
      </c>
      <c r="B33" s="27">
        <v>33558462</v>
      </c>
      <c r="C33" s="27">
        <f>B33</f>
        <v>33558462</v>
      </c>
      <c r="D33" s="1417">
        <f>G33-'[17]Anexo 1 _ BAL ORC'!G33</f>
        <v>5050247.66</v>
      </c>
      <c r="E33" s="1418"/>
      <c r="F33" s="28">
        <f aca="true" t="shared" si="5" ref="F33:F45">D33/C33*100</f>
        <v>15.04910344222569</v>
      </c>
      <c r="G33" s="1419">
        <v>10692946.84</v>
      </c>
      <c r="H33" s="1419"/>
      <c r="I33" s="1419"/>
      <c r="J33" s="27">
        <f aca="true" t="shared" si="6" ref="J33:J39">G33/C33*100</f>
        <v>31.863637970059532</v>
      </c>
      <c r="K33" s="29">
        <f>C33-G33</f>
        <v>22865515.16</v>
      </c>
      <c r="L33" s="383"/>
      <c r="M33" s="31"/>
      <c r="N33" s="31"/>
      <c r="O33" s="31"/>
    </row>
    <row r="34" spans="1:15" s="32" customFormat="1" ht="18.75" customHeight="1">
      <c r="A34" s="33" t="s">
        <v>40</v>
      </c>
      <c r="B34" s="27">
        <v>7447066</v>
      </c>
      <c r="C34" s="27">
        <f>B34</f>
        <v>7447066</v>
      </c>
      <c r="D34" s="1417">
        <f>G34-'[17]Anexo 1 _ BAL ORC'!G34</f>
        <v>554410.9500000002</v>
      </c>
      <c r="E34" s="1418"/>
      <c r="F34" s="28">
        <f t="shared" si="5"/>
        <v>7.444689626760394</v>
      </c>
      <c r="G34" s="1419">
        <v>3388445.62</v>
      </c>
      <c r="H34" s="1419"/>
      <c r="I34" s="1419"/>
      <c r="J34" s="27">
        <f t="shared" si="6"/>
        <v>45.50041076579689</v>
      </c>
      <c r="K34" s="29">
        <f>C34-G34</f>
        <v>4058620.38</v>
      </c>
      <c r="L34" s="1030"/>
      <c r="M34" s="377"/>
      <c r="N34" s="377"/>
      <c r="O34" s="377"/>
    </row>
    <row r="35" spans="1:15" s="26" customFormat="1" ht="18.75" customHeight="1">
      <c r="A35" s="20" t="s">
        <v>41</v>
      </c>
      <c r="B35" s="21">
        <f>B36+B39+B42+B46</f>
        <v>162958052</v>
      </c>
      <c r="C35" s="37">
        <f>C36+C39+C42+C46</f>
        <v>162958052</v>
      </c>
      <c r="D35" s="1415">
        <f>D36+D39+D42+D46</f>
        <v>2555682.5600000005</v>
      </c>
      <c r="E35" s="1415"/>
      <c r="F35" s="22">
        <f t="shared" si="5"/>
        <v>1.568307014372018</v>
      </c>
      <c r="G35" s="1416">
        <f>G36+G39+G42</f>
        <v>3155340.7000000007</v>
      </c>
      <c r="H35" s="1416"/>
      <c r="I35" s="1416"/>
      <c r="J35" s="23">
        <f t="shared" si="6"/>
        <v>1.9362901441654448</v>
      </c>
      <c r="K35" s="1381">
        <f>K36+K39+K42+K46</f>
        <v>159802711.3</v>
      </c>
      <c r="L35" s="375"/>
      <c r="M35" s="25"/>
      <c r="N35" s="25"/>
      <c r="O35" s="25"/>
    </row>
    <row r="36" spans="1:15" s="26" customFormat="1" ht="18.75" customHeight="1">
      <c r="A36" s="537" t="s">
        <v>42</v>
      </c>
      <c r="B36" s="21">
        <f>B37+B38</f>
        <v>110193363</v>
      </c>
      <c r="C36" s="21">
        <f>C37+C38</f>
        <v>110193363</v>
      </c>
      <c r="D36" s="1420">
        <f>D37+D38</f>
        <v>2514619.3200000003</v>
      </c>
      <c r="E36" s="1421"/>
      <c r="F36" s="22">
        <f t="shared" si="5"/>
        <v>2.282006149499222</v>
      </c>
      <c r="G36" s="1416">
        <f>G37+G38</f>
        <v>2514619.3200000003</v>
      </c>
      <c r="H36" s="1416"/>
      <c r="I36" s="1416"/>
      <c r="J36" s="21">
        <f t="shared" si="6"/>
        <v>2.282006149499222</v>
      </c>
      <c r="K36" s="38">
        <f>K37+K38</f>
        <v>107678743.68</v>
      </c>
      <c r="L36" s="24"/>
      <c r="M36" s="25"/>
      <c r="N36" s="25"/>
      <c r="O36" s="25"/>
    </row>
    <row r="37" spans="1:15" s="32" customFormat="1" ht="18.75" customHeight="1">
      <c r="A37" s="33" t="s">
        <v>43</v>
      </c>
      <c r="B37" s="27">
        <v>65723346</v>
      </c>
      <c r="C37" s="27">
        <f>B37</f>
        <v>65723346</v>
      </c>
      <c r="D37" s="1417">
        <f>G37-'[17]Anexo 1 _ BAL ORC'!G37</f>
        <v>920248</v>
      </c>
      <c r="E37" s="1418"/>
      <c r="F37" s="28">
        <f t="shared" si="5"/>
        <v>1.4001843424100775</v>
      </c>
      <c r="G37" s="1419">
        <v>920248</v>
      </c>
      <c r="H37" s="1419"/>
      <c r="I37" s="1419"/>
      <c r="J37" s="21">
        <f t="shared" si="6"/>
        <v>1.4001843424100775</v>
      </c>
      <c r="K37" s="29">
        <f>C37-G37</f>
        <v>64803098</v>
      </c>
      <c r="L37" s="30"/>
      <c r="M37" s="31"/>
      <c r="N37" s="31"/>
      <c r="O37" s="31"/>
    </row>
    <row r="38" spans="1:15" s="32" customFormat="1" ht="18.75" customHeight="1">
      <c r="A38" s="33" t="s">
        <v>44</v>
      </c>
      <c r="B38" s="27">
        <v>44470017</v>
      </c>
      <c r="C38" s="27">
        <f>B38</f>
        <v>44470017</v>
      </c>
      <c r="D38" s="1417">
        <f>G38-'[17]Anexo 1 _ BAL ORC'!G38</f>
        <v>1594371.32</v>
      </c>
      <c r="E38" s="1418"/>
      <c r="F38" s="28">
        <f t="shared" si="5"/>
        <v>3.5852725669072716</v>
      </c>
      <c r="G38" s="1419">
        <v>1594371.32</v>
      </c>
      <c r="H38" s="1419"/>
      <c r="I38" s="1419"/>
      <c r="J38" s="27">
        <f t="shared" si="6"/>
        <v>3.5852725669072716</v>
      </c>
      <c r="K38" s="29">
        <f>C38-G38</f>
        <v>42875645.68</v>
      </c>
      <c r="L38" s="30"/>
      <c r="M38" s="31"/>
      <c r="N38" s="31"/>
      <c r="O38" s="31"/>
    </row>
    <row r="39" spans="1:15" s="26" customFormat="1" ht="18.75" customHeight="1">
      <c r="A39" s="537" t="s">
        <v>45</v>
      </c>
      <c r="B39" s="579">
        <f>B40+B41</f>
        <v>1892</v>
      </c>
      <c r="C39" s="37">
        <f>C40+C41</f>
        <v>1892</v>
      </c>
      <c r="D39" s="1420">
        <f>D40+D41</f>
        <v>41063.24</v>
      </c>
      <c r="E39" s="1421"/>
      <c r="F39" s="28">
        <f t="shared" si="5"/>
        <v>2170.361522198731</v>
      </c>
      <c r="G39" s="1416">
        <f>G40+G41</f>
        <v>41063.24</v>
      </c>
      <c r="H39" s="1416"/>
      <c r="I39" s="1416"/>
      <c r="J39" s="27">
        <f t="shared" si="6"/>
        <v>2170.361522198731</v>
      </c>
      <c r="K39" s="38">
        <f>K40+K41</f>
        <v>-39171.24</v>
      </c>
      <c r="L39" s="24"/>
      <c r="M39" s="25"/>
      <c r="N39" s="25"/>
      <c r="O39" s="25"/>
    </row>
    <row r="40" spans="1:15" s="32" customFormat="1" ht="18.75" customHeight="1">
      <c r="A40" s="33" t="s">
        <v>46</v>
      </c>
      <c r="B40" s="34">
        <v>0</v>
      </c>
      <c r="C40" s="34">
        <v>0</v>
      </c>
      <c r="D40" s="1417">
        <f>G40-'[17]Anexo 1 _ BAL ORC'!G40</f>
        <v>0</v>
      </c>
      <c r="E40" s="1418"/>
      <c r="F40" s="28">
        <v>0</v>
      </c>
      <c r="G40" s="1419">
        <v>0</v>
      </c>
      <c r="H40" s="1419"/>
      <c r="I40" s="1419"/>
      <c r="J40" s="27">
        <v>0</v>
      </c>
      <c r="K40" s="29">
        <f aca="true" t="shared" si="7" ref="K40:K47">C40-G40</f>
        <v>0</v>
      </c>
      <c r="L40" s="30"/>
      <c r="M40" s="31"/>
      <c r="N40" s="31"/>
      <c r="O40" s="31"/>
    </row>
    <row r="41" spans="1:15" s="32" customFormat="1" ht="18.75" customHeight="1">
      <c r="A41" s="33" t="s">
        <v>47</v>
      </c>
      <c r="B41" s="34">
        <v>1892</v>
      </c>
      <c r="C41" s="34">
        <f>B41</f>
        <v>1892</v>
      </c>
      <c r="D41" s="1417">
        <f>G41-'[17]Anexo 1 _ BAL ORC'!G41</f>
        <v>41063.24</v>
      </c>
      <c r="E41" s="1418"/>
      <c r="F41" s="28">
        <f t="shared" si="5"/>
        <v>2170.361522198731</v>
      </c>
      <c r="G41" s="1419">
        <v>41063.24</v>
      </c>
      <c r="H41" s="1419"/>
      <c r="I41" s="1419"/>
      <c r="J41" s="27">
        <f>G41/C41*100</f>
        <v>2170.361522198731</v>
      </c>
      <c r="K41" s="29">
        <f t="shared" si="7"/>
        <v>-39171.24</v>
      </c>
      <c r="L41" s="30"/>
      <c r="M41" s="31"/>
      <c r="N41" s="31"/>
      <c r="O41" s="31"/>
    </row>
    <row r="42" spans="1:15" s="26" customFormat="1" ht="18.75" customHeight="1">
      <c r="A42" s="537" t="s">
        <v>48</v>
      </c>
      <c r="B42" s="37">
        <f>B43+B44+B45</f>
        <v>52762797</v>
      </c>
      <c r="C42" s="579">
        <f>C43+C44+C45</f>
        <v>52762797</v>
      </c>
      <c r="D42" s="1415">
        <f>D43+D44+D45</f>
        <v>0</v>
      </c>
      <c r="E42" s="1415"/>
      <c r="F42" s="940">
        <f t="shared" si="5"/>
        <v>0</v>
      </c>
      <c r="G42" s="1416">
        <f>G43+G44+G45</f>
        <v>599658.14</v>
      </c>
      <c r="H42" s="1416"/>
      <c r="I42" s="1416"/>
      <c r="J42" s="21">
        <f>G42/C42*100</f>
        <v>1.1365169666801402</v>
      </c>
      <c r="K42" s="588">
        <f>SUM(K43:K45)</f>
        <v>52163138.86</v>
      </c>
      <c r="L42" s="24"/>
      <c r="M42" s="25"/>
      <c r="N42" s="25"/>
      <c r="O42" s="25"/>
    </row>
    <row r="43" spans="1:15" s="32" customFormat="1" ht="18.75" customHeight="1">
      <c r="A43" s="33" t="s">
        <v>33</v>
      </c>
      <c r="B43" s="34">
        <v>0</v>
      </c>
      <c r="C43" s="34">
        <v>0</v>
      </c>
      <c r="D43" s="1417">
        <f>G43-'[17]Anexo 1 _ BAL ORC'!G43</f>
        <v>0</v>
      </c>
      <c r="E43" s="1418"/>
      <c r="F43" s="940"/>
      <c r="G43" s="1419">
        <v>0</v>
      </c>
      <c r="H43" s="1419"/>
      <c r="I43" s="1419"/>
      <c r="J43" s="27">
        <v>0</v>
      </c>
      <c r="K43" s="29">
        <f t="shared" si="7"/>
        <v>0</v>
      </c>
      <c r="L43" s="30"/>
      <c r="M43" s="31"/>
      <c r="N43" s="31"/>
      <c r="O43" s="31"/>
    </row>
    <row r="44" spans="1:15" s="32" customFormat="1" ht="18.75" customHeight="1">
      <c r="A44" s="33" t="s">
        <v>49</v>
      </c>
      <c r="B44" s="34"/>
      <c r="C44" s="27">
        <f>B44</f>
        <v>0</v>
      </c>
      <c r="D44" s="1417">
        <f>G44-'[17]Anexo 1 _ BAL ORC'!G44</f>
        <v>0</v>
      </c>
      <c r="E44" s="1418"/>
      <c r="F44" s="940"/>
      <c r="G44" s="1419">
        <v>0</v>
      </c>
      <c r="H44" s="1419"/>
      <c r="I44" s="1419"/>
      <c r="J44" s="34"/>
      <c r="K44" s="29">
        <f t="shared" si="7"/>
        <v>0</v>
      </c>
      <c r="L44" s="30"/>
      <c r="M44" s="31"/>
      <c r="N44" s="31"/>
      <c r="O44" s="31"/>
    </row>
    <row r="45" spans="1:15" s="32" customFormat="1" ht="18.75" customHeight="1">
      <c r="A45" s="33" t="s">
        <v>35</v>
      </c>
      <c r="B45" s="34">
        <v>52762797</v>
      </c>
      <c r="C45" s="27">
        <v>52762797</v>
      </c>
      <c r="D45" s="1417">
        <f>G45-'[17]Anexo 1 _ BAL ORC'!G45</f>
        <v>0</v>
      </c>
      <c r="E45" s="1418"/>
      <c r="F45" s="940">
        <f t="shared" si="5"/>
        <v>0</v>
      </c>
      <c r="G45" s="1419">
        <v>599658.14</v>
      </c>
      <c r="H45" s="1419"/>
      <c r="I45" s="1419"/>
      <c r="J45" s="27">
        <f>G45/C45*100</f>
        <v>1.1365169666801402</v>
      </c>
      <c r="K45" s="29">
        <f t="shared" si="7"/>
        <v>52163138.86</v>
      </c>
      <c r="L45" s="30"/>
      <c r="M45" s="31"/>
      <c r="N45" s="31"/>
      <c r="O45" s="31"/>
    </row>
    <row r="46" spans="1:15" s="26" customFormat="1" ht="18.75" customHeight="1">
      <c r="A46" s="537" t="s">
        <v>50</v>
      </c>
      <c r="B46" s="37">
        <f>B47</f>
        <v>0</v>
      </c>
      <c r="C46" s="37">
        <f>C47</f>
        <v>0</v>
      </c>
      <c r="D46" s="1417">
        <f>G46-'[17]Anexo 1 _ BAL ORC'!G46</f>
        <v>0</v>
      </c>
      <c r="E46" s="1418"/>
      <c r="F46" s="940"/>
      <c r="G46" s="1416">
        <f>G47</f>
        <v>0</v>
      </c>
      <c r="H46" s="1416"/>
      <c r="I46" s="1416"/>
      <c r="J46" s="21">
        <v>0</v>
      </c>
      <c r="K46" s="38">
        <f>K47</f>
        <v>0</v>
      </c>
      <c r="L46" s="24"/>
      <c r="M46" s="25"/>
      <c r="N46" s="25"/>
      <c r="O46" s="25"/>
    </row>
    <row r="47" spans="1:18" s="32" customFormat="1" ht="18.75" customHeight="1">
      <c r="A47" s="33" t="s">
        <v>51</v>
      </c>
      <c r="B47" s="34">
        <v>0</v>
      </c>
      <c r="C47" s="34">
        <v>0</v>
      </c>
      <c r="D47" s="1417">
        <f>G47-'[17]Anexo 1 _ BAL ORC'!G47</f>
        <v>0</v>
      </c>
      <c r="E47" s="1418"/>
      <c r="F47" s="940"/>
      <c r="G47" s="1419">
        <v>0</v>
      </c>
      <c r="H47" s="1419"/>
      <c r="I47" s="1419"/>
      <c r="J47" s="27">
        <v>0</v>
      </c>
      <c r="K47" s="29">
        <f t="shared" si="7"/>
        <v>0</v>
      </c>
      <c r="L47" s="30"/>
      <c r="M47" s="31"/>
      <c r="N47" s="31"/>
      <c r="O47" s="31"/>
      <c r="R47" s="39"/>
    </row>
    <row r="48" spans="1:15" s="32" customFormat="1" ht="18.75" customHeight="1">
      <c r="A48" s="20" t="s">
        <v>52</v>
      </c>
      <c r="B48" s="21">
        <v>82278831</v>
      </c>
      <c r="C48" s="21">
        <f>B48</f>
        <v>82278831</v>
      </c>
      <c r="D48" s="1417">
        <f>G48-'[17]Anexo 1 _ BAL ORC'!G48</f>
        <v>13973435.179999998</v>
      </c>
      <c r="E48" s="1418"/>
      <c r="F48" s="22">
        <f>D48/C48*100</f>
        <v>16.983025901279515</v>
      </c>
      <c r="G48" s="1424">
        <v>26372824.9</v>
      </c>
      <c r="H48" s="1425"/>
      <c r="I48" s="1426"/>
      <c r="J48" s="21">
        <f>G48/C48*100</f>
        <v>32.052989304138265</v>
      </c>
      <c r="K48" s="38">
        <f>C48-G48</f>
        <v>55906006.1</v>
      </c>
      <c r="L48" s="30"/>
      <c r="M48" s="31"/>
      <c r="N48" s="31"/>
      <c r="O48" s="31"/>
    </row>
    <row r="49" spans="1:15" s="26" customFormat="1" ht="18.75" customHeight="1">
      <c r="A49" s="40" t="s">
        <v>53</v>
      </c>
      <c r="B49" s="18">
        <f>B9+B48</f>
        <v>2701778599</v>
      </c>
      <c r="C49" s="18">
        <f>C9+C48</f>
        <v>2722911069.13</v>
      </c>
      <c r="D49" s="1427">
        <f>D10+D35+D48</f>
        <v>394902710.2999999</v>
      </c>
      <c r="E49" s="1427"/>
      <c r="F49" s="18">
        <f>D49/C49*100</f>
        <v>14.502960261062645</v>
      </c>
      <c r="G49" s="1428">
        <f>G10+G35+G48</f>
        <v>797075617.77</v>
      </c>
      <c r="H49" s="1428"/>
      <c r="I49" s="1428"/>
      <c r="J49" s="18">
        <f>G49/C49*100</f>
        <v>29.272921426136563</v>
      </c>
      <c r="K49" s="19">
        <f>K9+K48</f>
        <v>1925835451.36</v>
      </c>
      <c r="L49" s="41"/>
      <c r="M49" s="22"/>
      <c r="N49" s="378"/>
      <c r="O49" s="378"/>
    </row>
    <row r="50" spans="1:15" s="26" customFormat="1" ht="18.75" customHeight="1">
      <c r="A50" s="42" t="s">
        <v>54</v>
      </c>
      <c r="B50" s="43">
        <f>B51+B54</f>
        <v>0</v>
      </c>
      <c r="C50" s="43">
        <f>C51+C54</f>
        <v>0</v>
      </c>
      <c r="D50" s="1429">
        <f>D51+D54</f>
        <v>0</v>
      </c>
      <c r="E50" s="1430"/>
      <c r="F50" s="580">
        <v>0</v>
      </c>
      <c r="G50" s="1416"/>
      <c r="H50" s="1416"/>
      <c r="I50" s="1416"/>
      <c r="J50" s="27">
        <v>0</v>
      </c>
      <c r="K50" s="43">
        <f>K51+K54</f>
        <v>0</v>
      </c>
      <c r="L50" s="629"/>
      <c r="M50" s="25"/>
      <c r="N50" s="25"/>
      <c r="O50" s="25"/>
    </row>
    <row r="51" spans="1:15" s="26" customFormat="1" ht="18.75" customHeight="1">
      <c r="A51" s="44" t="s">
        <v>43</v>
      </c>
      <c r="B51" s="45">
        <f>SUM(B52:B53)</f>
        <v>0</v>
      </c>
      <c r="C51" s="45">
        <f>SUM(C52:C53)</f>
        <v>0</v>
      </c>
      <c r="D51" s="1420">
        <f>SUM(D52:D53)</f>
        <v>0</v>
      </c>
      <c r="E51" s="1421"/>
      <c r="F51" s="37">
        <v>0</v>
      </c>
      <c r="G51" s="1416">
        <f>SUM(H52:H53)</f>
        <v>0</v>
      </c>
      <c r="H51" s="1416"/>
      <c r="I51" s="1416"/>
      <c r="J51" s="27">
        <v>0</v>
      </c>
      <c r="K51" s="45">
        <f>SUM(K52:K53)</f>
        <v>0</v>
      </c>
      <c r="L51" s="24"/>
      <c r="M51" s="25"/>
      <c r="N51" s="25"/>
      <c r="O51" s="25"/>
    </row>
    <row r="52" spans="1:15" s="32" customFormat="1" ht="18.75" customHeight="1">
      <c r="A52" s="47" t="s">
        <v>55</v>
      </c>
      <c r="B52" s="48">
        <v>0</v>
      </c>
      <c r="C52" s="48">
        <v>0</v>
      </c>
      <c r="D52" s="1417">
        <f>G52-'[17]Anexo 1 _ BAL ORC'!G52</f>
        <v>0</v>
      </c>
      <c r="E52" s="1418"/>
      <c r="F52" s="27">
        <v>0</v>
      </c>
      <c r="G52" s="1419">
        <v>0</v>
      </c>
      <c r="H52" s="1419"/>
      <c r="I52" s="1419"/>
      <c r="J52" s="27">
        <v>0</v>
      </c>
      <c r="K52" s="29">
        <v>0</v>
      </c>
      <c r="L52" s="30"/>
      <c r="M52" s="31"/>
      <c r="N52" s="31"/>
      <c r="O52" s="31"/>
    </row>
    <row r="53" spans="1:15" s="32" customFormat="1" ht="18.75" customHeight="1">
      <c r="A53" s="47" t="s">
        <v>56</v>
      </c>
      <c r="B53" s="48">
        <v>0</v>
      </c>
      <c r="C53" s="48">
        <v>0</v>
      </c>
      <c r="D53" s="1417">
        <f>G53-'[17]Anexo 1 _ BAL ORC'!G53</f>
        <v>0</v>
      </c>
      <c r="E53" s="1418"/>
      <c r="F53" s="27">
        <v>0</v>
      </c>
      <c r="G53" s="1419">
        <v>0</v>
      </c>
      <c r="H53" s="1419"/>
      <c r="I53" s="1419"/>
      <c r="J53" s="27">
        <v>0</v>
      </c>
      <c r="K53" s="29">
        <v>0</v>
      </c>
      <c r="L53" s="30"/>
      <c r="M53" s="31"/>
      <c r="N53" s="31"/>
      <c r="O53" s="31"/>
    </row>
    <row r="54" spans="1:15" s="32" customFormat="1" ht="18.75" customHeight="1">
      <c r="A54" s="44" t="s">
        <v>44</v>
      </c>
      <c r="B54" s="45">
        <f>SUM(B55:B56)</f>
        <v>0</v>
      </c>
      <c r="C54" s="45">
        <f>SUM(C55:C56)</f>
        <v>0</v>
      </c>
      <c r="D54" s="1420">
        <f>SUM(D55:D56)</f>
        <v>0</v>
      </c>
      <c r="E54" s="1421"/>
      <c r="F54" s="37">
        <v>0</v>
      </c>
      <c r="G54" s="1416">
        <f>SUM(H55:H56)</f>
        <v>0</v>
      </c>
      <c r="H54" s="1416"/>
      <c r="I54" s="1416"/>
      <c r="J54" s="27">
        <v>0</v>
      </c>
      <c r="K54" s="45">
        <f>SUM(K55:K56)</f>
        <v>0</v>
      </c>
      <c r="L54" s="49"/>
      <c r="M54" s="31"/>
      <c r="N54" s="31"/>
      <c r="O54" s="31"/>
    </row>
    <row r="55" spans="1:15" s="32" customFormat="1" ht="18.75" customHeight="1">
      <c r="A55" s="47" t="s">
        <v>55</v>
      </c>
      <c r="B55" s="48">
        <v>0</v>
      </c>
      <c r="C55" s="48">
        <v>0</v>
      </c>
      <c r="D55" s="1417">
        <f>G55-'[17]Anexo 1 _ BAL ORC'!G55</f>
        <v>0</v>
      </c>
      <c r="E55" s="1418"/>
      <c r="F55" s="27">
        <v>0</v>
      </c>
      <c r="G55" s="1419">
        <v>0</v>
      </c>
      <c r="H55" s="1419"/>
      <c r="I55" s="1419"/>
      <c r="J55" s="27">
        <v>0</v>
      </c>
      <c r="K55" s="29">
        <v>0</v>
      </c>
      <c r="L55" s="49"/>
      <c r="M55" s="31"/>
      <c r="N55" s="31"/>
      <c r="O55" s="31"/>
    </row>
    <row r="56" spans="1:15" s="32" customFormat="1" ht="18.75" customHeight="1">
      <c r="A56" s="47" t="s">
        <v>56</v>
      </c>
      <c r="B56" s="50">
        <v>0</v>
      </c>
      <c r="C56" s="50">
        <v>0</v>
      </c>
      <c r="D56" s="1417">
        <f>G56-'[17]Anexo 1 _ BAL ORC'!G56</f>
        <v>0</v>
      </c>
      <c r="E56" s="1418"/>
      <c r="F56" s="51">
        <v>0</v>
      </c>
      <c r="G56" s="1432"/>
      <c r="H56" s="1432"/>
      <c r="I56" s="1432"/>
      <c r="J56" s="27">
        <v>0</v>
      </c>
      <c r="K56" s="29">
        <v>0</v>
      </c>
      <c r="L56" s="49"/>
      <c r="M56" s="31"/>
      <c r="N56" s="31"/>
      <c r="O56" s="31"/>
    </row>
    <row r="57" spans="1:15" s="26" customFormat="1" ht="18.75" customHeight="1">
      <c r="A57" s="40" t="s">
        <v>57</v>
      </c>
      <c r="B57" s="19">
        <f>B49+B50</f>
        <v>2701778599</v>
      </c>
      <c r="C57" s="19">
        <f>C49+C50</f>
        <v>2722911069.13</v>
      </c>
      <c r="D57" s="1428">
        <f>D49+D50</f>
        <v>394902710.2999999</v>
      </c>
      <c r="E57" s="1428"/>
      <c r="F57" s="52">
        <f>D57/C57*100</f>
        <v>14.502960261062645</v>
      </c>
      <c r="G57" s="1433">
        <f>G49+G50</f>
        <v>797075617.77</v>
      </c>
      <c r="H57" s="1434"/>
      <c r="I57" s="1435"/>
      <c r="J57" s="18">
        <f>G57/C57*100</f>
        <v>29.272921426136563</v>
      </c>
      <c r="K57" s="19">
        <f>K49+K50</f>
        <v>1925835451.36</v>
      </c>
      <c r="L57" s="24"/>
      <c r="M57" s="22"/>
      <c r="N57" s="25"/>
      <c r="O57" s="25"/>
    </row>
    <row r="58" spans="1:24" s="26" customFormat="1" ht="18.75" customHeight="1">
      <c r="A58" s="53" t="s">
        <v>58</v>
      </c>
      <c r="B58" s="43">
        <v>0</v>
      </c>
      <c r="C58" s="43">
        <v>0</v>
      </c>
      <c r="D58" s="1403">
        <v>0</v>
      </c>
      <c r="E58" s="1405"/>
      <c r="F58" s="54">
        <v>0</v>
      </c>
      <c r="G58" s="1403"/>
      <c r="H58" s="1404"/>
      <c r="I58" s="1405"/>
      <c r="J58" s="54">
        <v>0</v>
      </c>
      <c r="K58" s="55">
        <f>-G58</f>
        <v>0</v>
      </c>
      <c r="L58" s="56"/>
      <c r="M58" s="57"/>
      <c r="N58" s="57"/>
      <c r="O58" s="57"/>
      <c r="P58" s="56"/>
      <c r="Q58" s="56"/>
      <c r="R58" s="56"/>
      <c r="S58" s="56"/>
      <c r="T58" s="56"/>
      <c r="U58" s="56"/>
      <c r="V58" s="56"/>
      <c r="W58" s="56"/>
      <c r="X58" s="56"/>
    </row>
    <row r="59" spans="1:15" s="26" customFormat="1" ht="18.75" customHeight="1">
      <c r="A59" s="53" t="s">
        <v>59</v>
      </c>
      <c r="B59" s="58">
        <f>B57+B58</f>
        <v>2701778599</v>
      </c>
      <c r="C59" s="58">
        <f>C57+C58</f>
        <v>2722911069.13</v>
      </c>
      <c r="D59" s="1428">
        <f>D57+D58</f>
        <v>394902710.2999999</v>
      </c>
      <c r="E59" s="1428"/>
      <c r="F59" s="18">
        <f>D59/C59*100</f>
        <v>14.502960261062645</v>
      </c>
      <c r="G59" s="1428">
        <f>G57+G58</f>
        <v>797075617.77</v>
      </c>
      <c r="H59" s="1428"/>
      <c r="I59" s="1428"/>
      <c r="J59" s="18">
        <f>G59/C59*100</f>
        <v>29.272921426136563</v>
      </c>
      <c r="K59" s="19">
        <f>K57+K58</f>
        <v>1925835451.36</v>
      </c>
      <c r="L59" s="24"/>
      <c r="M59" s="536"/>
      <c r="N59" s="25"/>
      <c r="O59" s="25"/>
    </row>
    <row r="60" spans="1:15" s="26" customFormat="1" ht="22.5" customHeight="1">
      <c r="A60" s="599" t="s">
        <v>60</v>
      </c>
      <c r="B60" s="59"/>
      <c r="C60" s="59">
        <f>2725629077.27-C59</f>
        <v>2718008.1399998665</v>
      </c>
      <c r="D60" s="1442">
        <v>0</v>
      </c>
      <c r="E60" s="1442"/>
      <c r="F60" s="60">
        <v>0</v>
      </c>
      <c r="G60" s="1428"/>
      <c r="H60" s="1428"/>
      <c r="I60" s="1428"/>
      <c r="J60" s="60">
        <v>0</v>
      </c>
      <c r="K60" s="61"/>
      <c r="L60" s="629"/>
      <c r="M60" s="25"/>
      <c r="N60" s="25"/>
      <c r="O60" s="25"/>
    </row>
    <row r="61" spans="1:15" s="32" customFormat="1" ht="18.75" customHeight="1">
      <c r="A61" s="62"/>
      <c r="B61" s="9"/>
      <c r="C61" s="9"/>
      <c r="D61" s="9"/>
      <c r="E61" s="9"/>
      <c r="F61" s="9"/>
      <c r="G61" s="63"/>
      <c r="H61" s="483"/>
      <c r="I61" s="63"/>
      <c r="J61" s="63"/>
      <c r="K61" s="63"/>
      <c r="L61" s="30"/>
      <c r="M61" s="31"/>
      <c r="N61" s="31"/>
      <c r="O61" s="31"/>
    </row>
    <row r="62" spans="1:15" s="32" customFormat="1" ht="18.75" customHeight="1">
      <c r="A62" s="64"/>
      <c r="B62" s="9"/>
      <c r="C62" s="9"/>
      <c r="D62" s="9"/>
      <c r="E62" s="9"/>
      <c r="F62" s="9" t="s">
        <v>61</v>
      </c>
      <c r="G62" s="9"/>
      <c r="H62" s="9"/>
      <c r="I62" s="9"/>
      <c r="J62" s="9"/>
      <c r="K62" s="9"/>
      <c r="L62" s="30"/>
      <c r="M62" s="31"/>
      <c r="N62" s="31"/>
      <c r="O62" s="31"/>
    </row>
    <row r="63" spans="1:15" s="32" customFormat="1" ht="18.75" customHeight="1">
      <c r="A63" s="1431" t="s">
        <v>803</v>
      </c>
      <c r="B63" s="1431"/>
      <c r="C63" s="1431"/>
      <c r="D63" s="1431"/>
      <c r="E63" s="1431"/>
      <c r="F63" s="1431"/>
      <c r="G63" s="65"/>
      <c r="H63" s="65"/>
      <c r="I63" s="65"/>
      <c r="J63" s="65"/>
      <c r="K63" s="65"/>
      <c r="L63" s="30"/>
      <c r="M63" s="31"/>
      <c r="N63" s="31"/>
      <c r="O63" s="31"/>
    </row>
    <row r="64" spans="1:15" s="32" customFormat="1" ht="18.75" customHeight="1">
      <c r="A64" s="1402" t="s">
        <v>804</v>
      </c>
      <c r="B64" s="1402"/>
      <c r="C64" s="1402"/>
      <c r="D64" s="1402"/>
      <c r="E64" s="1402"/>
      <c r="F64" s="1402"/>
      <c r="G64" s="66"/>
      <c r="H64" s="481"/>
      <c r="J64" s="481"/>
      <c r="K64" s="66"/>
      <c r="L64" s="30"/>
      <c r="M64" s="31"/>
      <c r="N64" s="31"/>
      <c r="O64" s="31"/>
    </row>
    <row r="65" spans="1:15" s="32" customFormat="1" ht="18.75" customHeight="1">
      <c r="A65" s="1402" t="s">
        <v>805</v>
      </c>
      <c r="B65" s="1402"/>
      <c r="C65" s="1402"/>
      <c r="D65" s="1402"/>
      <c r="E65" s="1402"/>
      <c r="F65" s="1402"/>
      <c r="G65" s="482"/>
      <c r="H65" s="480"/>
      <c r="I65" s="67"/>
      <c r="J65" s="67"/>
      <c r="K65" s="67"/>
      <c r="L65" s="30"/>
      <c r="M65" s="31"/>
      <c r="N65" s="31"/>
      <c r="O65" s="31"/>
    </row>
    <row r="66" spans="1:15" s="32" customFormat="1" ht="18.75" customHeight="1">
      <c r="A66" s="1406" t="str">
        <f>A4</f>
        <v>Referência: JANEIRO-ABRIL/2015; BIMESTRE: MARÇO-ABRIL/2015</v>
      </c>
      <c r="B66" s="1406"/>
      <c r="C66" s="1406"/>
      <c r="D66" s="1406"/>
      <c r="E66" s="1406"/>
      <c r="F66" s="1406"/>
      <c r="G66" s="6"/>
      <c r="H66" s="1431" t="s">
        <v>950</v>
      </c>
      <c r="I66" s="1431"/>
      <c r="J66" s="1431"/>
      <c r="K66" s="65"/>
      <c r="L66" s="30"/>
      <c r="M66" s="31"/>
      <c r="N66" s="31"/>
      <c r="O66" s="31"/>
    </row>
    <row r="67" spans="1:23" s="32" customFormat="1" ht="18.75" customHeight="1">
      <c r="A67" s="68" t="s">
        <v>798</v>
      </c>
      <c r="B67" s="9"/>
      <c r="C67" s="9"/>
      <c r="D67" s="9"/>
      <c r="E67" s="9"/>
      <c r="F67" s="9"/>
      <c r="G67" s="9"/>
      <c r="H67" s="1315" t="str">
        <f>H4</f>
        <v>Data: 22/05/2015</v>
      </c>
      <c r="I67" s="9"/>
      <c r="J67" s="69"/>
      <c r="K67" s="10" t="s">
        <v>540</v>
      </c>
      <c r="L67" s="30"/>
      <c r="M67" s="4" t="s">
        <v>462</v>
      </c>
      <c r="N67" s="4"/>
      <c r="O67" s="4"/>
      <c r="P67" s="31"/>
      <c r="Q67" s="31"/>
      <c r="R67" s="31"/>
      <c r="S67" s="31"/>
      <c r="T67" s="31"/>
      <c r="U67" s="31"/>
      <c r="V67" s="31"/>
      <c r="W67" s="31"/>
    </row>
    <row r="68" spans="1:23" s="32" customFormat="1" ht="18.75" customHeight="1">
      <c r="A68" s="70"/>
      <c r="B68" s="71" t="s">
        <v>62</v>
      </c>
      <c r="C68" s="1314" t="s">
        <v>62</v>
      </c>
      <c r="D68" s="1391" t="s">
        <v>646</v>
      </c>
      <c r="E68" s="1392"/>
      <c r="F68" s="1393" t="s">
        <v>298</v>
      </c>
      <c r="G68" s="1396" t="s">
        <v>939</v>
      </c>
      <c r="H68" s="1397"/>
      <c r="I68" s="1388" t="s">
        <v>298</v>
      </c>
      <c r="J68" s="1386" t="s">
        <v>941</v>
      </c>
      <c r="K68" s="1441" t="s">
        <v>239</v>
      </c>
      <c r="L68" s="31"/>
      <c r="M68" s="545"/>
      <c r="N68" s="106"/>
      <c r="O68" s="532"/>
      <c r="P68" s="25"/>
      <c r="Q68" s="25"/>
      <c r="R68" s="31"/>
      <c r="S68" s="31"/>
      <c r="T68" s="31"/>
      <c r="U68" s="31"/>
      <c r="V68" s="31"/>
      <c r="W68" s="31"/>
    </row>
    <row r="69" spans="1:23" s="32" customFormat="1" ht="18.75" customHeight="1">
      <c r="A69" s="72"/>
      <c r="B69" s="73"/>
      <c r="C69" s="73"/>
      <c r="D69" s="73"/>
      <c r="E69" s="35"/>
      <c r="F69" s="1394"/>
      <c r="G69" s="1398"/>
      <c r="H69" s="1399"/>
      <c r="I69" s="1389"/>
      <c r="J69" s="1387"/>
      <c r="K69" s="1441"/>
      <c r="L69" s="31"/>
      <c r="M69" s="4"/>
      <c r="N69" s="4"/>
      <c r="O69" s="532"/>
      <c r="P69" s="25"/>
      <c r="Q69" s="25"/>
      <c r="R69" s="31"/>
      <c r="S69" s="31"/>
      <c r="T69" s="31"/>
      <c r="U69" s="31"/>
      <c r="V69" s="31"/>
      <c r="W69" s="31"/>
    </row>
    <row r="70" spans="1:23" s="32" customFormat="1" ht="18.75" customHeight="1">
      <c r="A70" s="74" t="s">
        <v>63</v>
      </c>
      <c r="B70" s="75" t="s">
        <v>64</v>
      </c>
      <c r="C70" s="75" t="s">
        <v>65</v>
      </c>
      <c r="D70" s="75" t="s">
        <v>102</v>
      </c>
      <c r="E70" s="13" t="s">
        <v>103</v>
      </c>
      <c r="F70" s="1395"/>
      <c r="G70" s="1400" t="s">
        <v>7</v>
      </c>
      <c r="H70" s="1322" t="s">
        <v>944</v>
      </c>
      <c r="I70" s="1390"/>
      <c r="J70" s="1387"/>
      <c r="K70" s="1441"/>
      <c r="L70" s="31"/>
      <c r="M70" s="4"/>
      <c r="N70" s="4"/>
      <c r="O70" s="532"/>
      <c r="P70" s="25"/>
      <c r="Q70" s="25"/>
      <c r="R70" s="31"/>
      <c r="S70" s="31"/>
      <c r="T70" s="31"/>
      <c r="U70" s="31"/>
      <c r="V70" s="31"/>
      <c r="W70" s="31"/>
    </row>
    <row r="71" spans="1:23" s="32" customFormat="1" ht="18.75" customHeight="1">
      <c r="A71" s="76"/>
      <c r="B71" s="77" t="s">
        <v>66</v>
      </c>
      <c r="C71" s="1310" t="s">
        <v>67</v>
      </c>
      <c r="D71" s="77"/>
      <c r="E71" s="1310" t="s">
        <v>937</v>
      </c>
      <c r="F71" s="1310" t="s">
        <v>938</v>
      </c>
      <c r="G71" s="1401"/>
      <c r="H71" s="99" t="s">
        <v>68</v>
      </c>
      <c r="I71" s="1316" t="s">
        <v>940</v>
      </c>
      <c r="J71" s="1317" t="s">
        <v>942</v>
      </c>
      <c r="K71" s="78" t="s">
        <v>943</v>
      </c>
      <c r="L71" s="31"/>
      <c r="M71" s="4"/>
      <c r="N71" s="4"/>
      <c r="O71" s="4"/>
      <c r="P71" s="31"/>
      <c r="Q71" s="31"/>
      <c r="R71" s="31"/>
      <c r="S71" s="31"/>
      <c r="T71" s="31"/>
      <c r="U71" s="31"/>
      <c r="V71" s="31"/>
      <c r="W71" s="31"/>
    </row>
    <row r="72" spans="1:23" s="32" customFormat="1" ht="18.75" customHeight="1">
      <c r="A72" s="20" t="s">
        <v>69</v>
      </c>
      <c r="B72" s="79">
        <f aca="true" t="shared" si="8" ref="B72:H72">B73+B77+B81+B82</f>
        <v>2701778599</v>
      </c>
      <c r="C72" s="79">
        <f t="shared" si="8"/>
        <v>2656867996.21</v>
      </c>
      <c r="D72" s="79">
        <f t="shared" si="8"/>
        <v>238625999.9300001</v>
      </c>
      <c r="E72" s="79">
        <f t="shared" si="8"/>
        <v>1518050616.67</v>
      </c>
      <c r="F72" s="79">
        <f t="shared" si="8"/>
        <v>1138817379.54</v>
      </c>
      <c r="G72" s="79">
        <f t="shared" si="8"/>
        <v>403820167.83000004</v>
      </c>
      <c r="H72" s="79">
        <f t="shared" si="8"/>
        <v>672192037.6</v>
      </c>
      <c r="I72" s="79">
        <f>I73+I77+I81</f>
        <v>1984675958.61</v>
      </c>
      <c r="J72" s="79">
        <f>J73+J77+J81</f>
        <v>518977872.40999997</v>
      </c>
      <c r="K72" s="81">
        <f>K73+K77+K81+K82</f>
        <v>0</v>
      </c>
      <c r="L72" s="82"/>
      <c r="M72" s="4"/>
      <c r="N72" s="4"/>
      <c r="O72" s="532"/>
      <c r="P72" s="25"/>
      <c r="Q72" s="25"/>
      <c r="R72" s="31"/>
      <c r="S72" s="31"/>
      <c r="T72" s="31"/>
      <c r="U72" s="31"/>
      <c r="V72" s="31"/>
      <c r="W72" s="31"/>
    </row>
    <row r="73" spans="1:23" s="26" customFormat="1" ht="18.75" customHeight="1">
      <c r="A73" s="83" t="s">
        <v>70</v>
      </c>
      <c r="B73" s="84">
        <f>B74+B75+B76</f>
        <v>2292741187.59</v>
      </c>
      <c r="C73" s="84">
        <f>C74+C75+C76</f>
        <v>2239255860.99</v>
      </c>
      <c r="D73" s="84">
        <f aca="true" t="shared" si="9" ref="D73:I73">D74+D75+D76</f>
        <v>203816092.7200001</v>
      </c>
      <c r="E73" s="84">
        <f t="shared" si="9"/>
        <v>1440673186.54</v>
      </c>
      <c r="F73" s="84">
        <f t="shared" si="9"/>
        <v>798582674.4499999</v>
      </c>
      <c r="G73" s="84">
        <f t="shared" si="9"/>
        <v>388148142.72</v>
      </c>
      <c r="H73" s="84">
        <f t="shared" si="9"/>
        <v>643907404.9300001</v>
      </c>
      <c r="I73" s="84">
        <f t="shared" si="9"/>
        <v>1595348456.06</v>
      </c>
      <c r="J73" s="85">
        <f>J74+J75+J76</f>
        <v>494240959.98999995</v>
      </c>
      <c r="K73" s="85">
        <f>K74+K75+K76</f>
        <v>0</v>
      </c>
      <c r="L73" s="82"/>
      <c r="M73" s="983"/>
      <c r="N73" s="4"/>
      <c r="O73" s="532"/>
      <c r="P73" s="25"/>
      <c r="Q73" s="25"/>
      <c r="R73" s="25"/>
      <c r="S73" s="25"/>
      <c r="T73" s="25"/>
      <c r="U73" s="25"/>
      <c r="V73" s="25"/>
      <c r="W73" s="25"/>
    </row>
    <row r="74" spans="1:23" s="26" customFormat="1" ht="18.75" customHeight="1">
      <c r="A74" s="86" t="s">
        <v>71</v>
      </c>
      <c r="B74" s="87">
        <f>1100243044.23-B83</f>
        <v>1100243044.23</v>
      </c>
      <c r="C74" s="87">
        <f>B74+93851088.48-90516701.06-C83</f>
        <v>1034816350.5900002</v>
      </c>
      <c r="D74" s="1376">
        <f>E74-'[17]Anexo 1 _ BAL ORC'!F74</f>
        <v>-4002560.6199998856</v>
      </c>
      <c r="E74" s="1351">
        <f>805860501.44-E83</f>
        <v>737099420.3800001</v>
      </c>
      <c r="F74" s="87">
        <f>C74-E74</f>
        <v>297716930.21000004</v>
      </c>
      <c r="G74" s="35">
        <f>H74-'[17]Anexo 1 _ BAL ORC'!H74</f>
        <v>173747359.11000004</v>
      </c>
      <c r="H74" s="529">
        <f>339937266.66-H83</f>
        <v>328270225.46000004</v>
      </c>
      <c r="I74" s="87">
        <f>C74-H74</f>
        <v>706546125.1300001</v>
      </c>
      <c r="J74" s="80">
        <f>308696297.84-J83</f>
        <v>297029256.64</v>
      </c>
      <c r="K74" s="88"/>
      <c r="L74" s="82"/>
      <c r="M74" s="4"/>
      <c r="N74" s="4"/>
      <c r="O74" s="532"/>
      <c r="P74" s="25"/>
      <c r="Q74" s="25"/>
      <c r="R74" s="25"/>
      <c r="S74" s="25"/>
      <c r="T74" s="25"/>
      <c r="U74" s="25"/>
      <c r="V74" s="25"/>
      <c r="W74" s="25"/>
    </row>
    <row r="75" spans="1:15" s="32" customFormat="1" ht="18.75" customHeight="1">
      <c r="A75" s="86" t="s">
        <v>72</v>
      </c>
      <c r="B75" s="87">
        <v>9955672</v>
      </c>
      <c r="C75" s="87">
        <f>B75</f>
        <v>9955672</v>
      </c>
      <c r="D75" s="35">
        <f>E75-'[17]Anexo 1 _ BAL ORC'!F75</f>
        <v>3035286.56</v>
      </c>
      <c r="E75" s="1351">
        <v>5285265.63</v>
      </c>
      <c r="F75" s="87">
        <f aca="true" t="shared" si="10" ref="F75:F83">C75-E75</f>
        <v>4670406.37</v>
      </c>
      <c r="G75" s="35">
        <f>H75-'[17]Anexo 1 _ BAL ORC'!H75</f>
        <v>1196958.9699999997</v>
      </c>
      <c r="H75" s="529">
        <v>2292141.03</v>
      </c>
      <c r="I75" s="87">
        <f>C75-H75</f>
        <v>7663530.970000001</v>
      </c>
      <c r="J75" s="80">
        <v>2292141.03</v>
      </c>
      <c r="K75" s="88"/>
      <c r="L75" s="82"/>
      <c r="M75" s="4"/>
      <c r="N75" s="4"/>
      <c r="O75" s="531"/>
    </row>
    <row r="76" spans="1:15" s="32" customFormat="1" ht="18.75" customHeight="1">
      <c r="A76" s="86" t="s">
        <v>73</v>
      </c>
      <c r="B76" s="87">
        <v>1182542471.36</v>
      </c>
      <c r="C76" s="87">
        <f>B76+72465746.73-60524379.69</f>
        <v>1194483838.3999999</v>
      </c>
      <c r="D76" s="35">
        <f>E76-'[17]Anexo 1 _ BAL ORC'!F76</f>
        <v>204783366.77999997</v>
      </c>
      <c r="E76" s="1351">
        <v>698288500.53</v>
      </c>
      <c r="F76" s="87">
        <f t="shared" si="10"/>
        <v>496195337.8699999</v>
      </c>
      <c r="G76" s="35">
        <f>H76-'[17]Anexo 1 _ BAL ORC'!H76</f>
        <v>213203824.64</v>
      </c>
      <c r="H76" s="529">
        <v>313345038.44</v>
      </c>
      <c r="I76" s="87">
        <f>C76-H76</f>
        <v>881138799.9599998</v>
      </c>
      <c r="J76" s="80">
        <v>194919562.32</v>
      </c>
      <c r="K76" s="88"/>
      <c r="L76" s="82"/>
      <c r="M76" s="4"/>
      <c r="N76" s="4"/>
      <c r="O76" s="531"/>
    </row>
    <row r="77" spans="1:15" s="89" customFormat="1" ht="18.75" customHeight="1">
      <c r="A77" s="83" t="s">
        <v>74</v>
      </c>
      <c r="B77" s="84">
        <f aca="true" t="shared" si="11" ref="B77:I77">B78+B79+B80</f>
        <v>329442097.41</v>
      </c>
      <c r="C77" s="84">
        <f t="shared" si="11"/>
        <v>348016821.22</v>
      </c>
      <c r="D77" s="525">
        <f t="shared" si="11"/>
        <v>34809907.21</v>
      </c>
      <c r="E77" s="84">
        <f t="shared" si="11"/>
        <v>77377430.13</v>
      </c>
      <c r="F77" s="84">
        <f t="shared" si="11"/>
        <v>270639391.09000003</v>
      </c>
      <c r="G77" s="84">
        <f t="shared" si="11"/>
        <v>15672025.110000003</v>
      </c>
      <c r="H77" s="525">
        <f t="shared" si="11"/>
        <v>28284632.67</v>
      </c>
      <c r="I77" s="84">
        <f t="shared" si="11"/>
        <v>319732188.55</v>
      </c>
      <c r="J77" s="85">
        <f>J78+J79+J80</f>
        <v>24736912.42</v>
      </c>
      <c r="K77" s="85">
        <f>K78+K79+K80</f>
        <v>0</v>
      </c>
      <c r="L77" s="82"/>
      <c r="M77" s="4"/>
      <c r="N77" s="4"/>
      <c r="O77" s="531"/>
    </row>
    <row r="78" spans="1:15" ht="18.75" customHeight="1">
      <c r="A78" s="86" t="s">
        <v>75</v>
      </c>
      <c r="B78" s="87">
        <v>280625969.41</v>
      </c>
      <c r="C78" s="87">
        <f>B78+24789319.76-6214595.95</f>
        <v>299200693.22</v>
      </c>
      <c r="D78" s="524">
        <f>E78-'[17]Anexo 1 _ BAL ORC'!F78</f>
        <v>19894097.6</v>
      </c>
      <c r="E78" s="1351">
        <v>53140384.27</v>
      </c>
      <c r="F78" s="87">
        <f t="shared" si="10"/>
        <v>246060308.95000002</v>
      </c>
      <c r="G78" s="35">
        <f>H78-'[17]Anexo 1 _ BAL ORC'!H78</f>
        <v>11393570.060000002</v>
      </c>
      <c r="H78" s="529">
        <v>19729385.1</v>
      </c>
      <c r="I78" s="87">
        <f aca="true" t="shared" si="12" ref="I78:I83">C78-H78</f>
        <v>279471308.12</v>
      </c>
      <c r="J78" s="80">
        <v>16181664.85</v>
      </c>
      <c r="K78" s="88"/>
      <c r="L78" s="82"/>
      <c r="M78" s="31"/>
      <c r="N78" s="82"/>
      <c r="O78" s="82"/>
    </row>
    <row r="79" spans="1:15" ht="18.75" customHeight="1">
      <c r="A79" s="86" t="s">
        <v>76</v>
      </c>
      <c r="B79" s="87">
        <v>131800</v>
      </c>
      <c r="C79" s="87">
        <f>B79</f>
        <v>131800</v>
      </c>
      <c r="D79" s="524">
        <f>E79-'[17]Anexo 1 _ BAL ORC'!F79</f>
        <v>0</v>
      </c>
      <c r="E79" s="1351">
        <v>0</v>
      </c>
      <c r="F79" s="87">
        <f t="shared" si="10"/>
        <v>131800</v>
      </c>
      <c r="G79" s="35">
        <f>H79-'[17]Anexo 1 _ BAL ORC'!H79</f>
        <v>0</v>
      </c>
      <c r="H79" s="529">
        <v>0</v>
      </c>
      <c r="I79" s="87">
        <f t="shared" si="12"/>
        <v>131800</v>
      </c>
      <c r="J79" s="80"/>
      <c r="K79" s="88"/>
      <c r="L79" s="82"/>
      <c r="M79" s="4"/>
      <c r="N79" s="82"/>
      <c r="O79" s="82"/>
    </row>
    <row r="80" spans="1:15" ht="18.75" customHeight="1">
      <c r="A80" s="86" t="s">
        <v>77</v>
      </c>
      <c r="B80" s="87">
        <v>48684328</v>
      </c>
      <c r="C80" s="87">
        <f>B80</f>
        <v>48684328</v>
      </c>
      <c r="D80" s="524">
        <f>E80-'[17]Anexo 1 _ BAL ORC'!F80</f>
        <v>14915809.61</v>
      </c>
      <c r="E80" s="1351">
        <v>24237045.86</v>
      </c>
      <c r="F80" s="87">
        <f t="shared" si="10"/>
        <v>24447282.14</v>
      </c>
      <c r="G80" s="35">
        <f>H80-'[17]Anexo 1 _ BAL ORC'!H80</f>
        <v>4278455.050000001</v>
      </c>
      <c r="H80" s="529">
        <v>8555247.57</v>
      </c>
      <c r="I80" s="87">
        <f t="shared" si="12"/>
        <v>40129080.43</v>
      </c>
      <c r="J80" s="80">
        <v>8555247.57</v>
      </c>
      <c r="K80" s="88"/>
      <c r="L80" s="82"/>
      <c r="M80" s="983"/>
      <c r="N80" s="82"/>
      <c r="O80" s="379"/>
    </row>
    <row r="81" spans="1:15" ht="18.75" customHeight="1">
      <c r="A81" s="83" t="s">
        <v>78</v>
      </c>
      <c r="B81" s="84">
        <v>20739308</v>
      </c>
      <c r="C81" s="87">
        <f>B81+58856006-10000000</f>
        <v>69595314</v>
      </c>
      <c r="D81" s="524">
        <f>E81-'[17]Anexo 1 _ BAL ORC'!F81</f>
        <v>0</v>
      </c>
      <c r="E81" s="1352">
        <v>0</v>
      </c>
      <c r="F81" s="87">
        <f t="shared" si="10"/>
        <v>69595314</v>
      </c>
      <c r="G81" s="35">
        <f>H81-'[17]Anexo 1 _ BAL ORC'!H81</f>
        <v>0</v>
      </c>
      <c r="H81" s="525">
        <v>0</v>
      </c>
      <c r="I81" s="87">
        <f t="shared" si="12"/>
        <v>69595314</v>
      </c>
      <c r="J81" s="80"/>
      <c r="K81" s="88"/>
      <c r="L81" s="82"/>
      <c r="M81" s="983"/>
      <c r="N81" s="82"/>
      <c r="O81" s="82"/>
    </row>
    <row r="82" spans="1:15" ht="18.75" customHeight="1">
      <c r="A82" s="83" t="s">
        <v>79</v>
      </c>
      <c r="B82" s="84">
        <v>58856006</v>
      </c>
      <c r="C82" s="84">
        <f>B82-58856006</f>
        <v>0</v>
      </c>
      <c r="D82" s="524">
        <f>E82-'[17]Anexo 1 _ BAL ORC'!F82</f>
        <v>0</v>
      </c>
      <c r="E82" s="1352">
        <v>0</v>
      </c>
      <c r="F82" s="87">
        <f t="shared" si="10"/>
        <v>0</v>
      </c>
      <c r="G82" s="35">
        <f>H82-'[17]Anexo 1 _ BAL ORC'!H82</f>
        <v>0</v>
      </c>
      <c r="H82" s="525">
        <v>0</v>
      </c>
      <c r="I82" s="87">
        <f t="shared" si="12"/>
        <v>0</v>
      </c>
      <c r="J82" s="80"/>
      <c r="K82" s="88"/>
      <c r="L82" s="82"/>
      <c r="M82" s="4"/>
      <c r="N82" s="82"/>
      <c r="O82" s="82"/>
    </row>
    <row r="83" spans="1:15" ht="18.75" customHeight="1">
      <c r="A83" s="20" t="s">
        <v>80</v>
      </c>
      <c r="B83" s="525">
        <v>0</v>
      </c>
      <c r="C83" s="87">
        <v>68761081.06</v>
      </c>
      <c r="D83" s="524">
        <f>E83-'[17]Anexo 1 _ BAL ORC'!F83</f>
        <v>68761081.06</v>
      </c>
      <c r="E83" s="87">
        <v>68761081.06</v>
      </c>
      <c r="F83" s="87">
        <f t="shared" si="10"/>
        <v>0</v>
      </c>
      <c r="G83" s="35">
        <f>H83-'[17]Anexo 1 _ BAL ORC'!H83</f>
        <v>11667041.2</v>
      </c>
      <c r="H83" s="525">
        <v>11667041.2</v>
      </c>
      <c r="I83" s="87">
        <f t="shared" si="12"/>
        <v>57094039.86</v>
      </c>
      <c r="J83" s="101">
        <v>11667041.2</v>
      </c>
      <c r="K83" s="85"/>
      <c r="L83" s="82"/>
      <c r="M83" s="4"/>
      <c r="N83" s="82"/>
      <c r="O83" s="82"/>
    </row>
    <row r="84" spans="1:15" s="93" customFormat="1" ht="18.75" customHeight="1">
      <c r="A84" s="439" t="s">
        <v>81</v>
      </c>
      <c r="B84" s="91">
        <f aca="true" t="shared" si="13" ref="B84:K84">B72+B83</f>
        <v>2701778599</v>
      </c>
      <c r="C84" s="91">
        <f>C72+C83</f>
        <v>2725629077.27</v>
      </c>
      <c r="D84" s="91">
        <f t="shared" si="13"/>
        <v>307387080.9900001</v>
      </c>
      <c r="E84" s="91">
        <f t="shared" si="13"/>
        <v>1586811697.73</v>
      </c>
      <c r="F84" s="91">
        <f t="shared" si="13"/>
        <v>1138817379.54</v>
      </c>
      <c r="G84" s="91">
        <f t="shared" si="13"/>
        <v>415487209.03000003</v>
      </c>
      <c r="H84" s="526">
        <f t="shared" si="13"/>
        <v>683859078.8000001</v>
      </c>
      <c r="I84" s="91">
        <f t="shared" si="13"/>
        <v>2041769998.4699998</v>
      </c>
      <c r="J84" s="91">
        <f t="shared" si="13"/>
        <v>530644913.60999995</v>
      </c>
      <c r="K84" s="91">
        <f t="shared" si="13"/>
        <v>0</v>
      </c>
      <c r="L84" s="82"/>
      <c r="M84" s="4"/>
      <c r="N84" s="82"/>
      <c r="O84" s="82"/>
    </row>
    <row r="85" spans="1:15" s="93" customFormat="1" ht="18.75" customHeight="1">
      <c r="A85" s="440" t="s">
        <v>541</v>
      </c>
      <c r="B85" s="94">
        <f aca="true" t="shared" si="14" ref="B85:K85">B86+B89</f>
        <v>0</v>
      </c>
      <c r="C85" s="94">
        <f t="shared" si="14"/>
        <v>0</v>
      </c>
      <c r="D85" s="527">
        <f t="shared" si="14"/>
        <v>0</v>
      </c>
      <c r="E85" s="94">
        <f t="shared" si="14"/>
        <v>0</v>
      </c>
      <c r="F85" s="94">
        <f t="shared" si="14"/>
        <v>0</v>
      </c>
      <c r="G85" s="94">
        <f t="shared" si="14"/>
        <v>0</v>
      </c>
      <c r="H85" s="94">
        <f t="shared" si="14"/>
        <v>0</v>
      </c>
      <c r="I85" s="94">
        <f t="shared" si="14"/>
        <v>0</v>
      </c>
      <c r="J85" s="94">
        <f t="shared" si="14"/>
        <v>0</v>
      </c>
      <c r="K85" s="94">
        <f t="shared" si="14"/>
        <v>0</v>
      </c>
      <c r="L85" s="95"/>
      <c r="M85" s="548"/>
      <c r="N85" s="95"/>
      <c r="O85" s="95"/>
    </row>
    <row r="86" spans="1:12" s="93" customFormat="1" ht="18.75" customHeight="1">
      <c r="A86" s="44" t="s">
        <v>82</v>
      </c>
      <c r="B86" s="85">
        <f aca="true" t="shared" si="15" ref="B86:K86">SUM(B87:B88)</f>
        <v>0</v>
      </c>
      <c r="C86" s="85">
        <f t="shared" si="15"/>
        <v>0</v>
      </c>
      <c r="D86" s="528">
        <f t="shared" si="15"/>
        <v>0</v>
      </c>
      <c r="E86" s="85">
        <f t="shared" si="15"/>
        <v>0</v>
      </c>
      <c r="F86" s="85">
        <f t="shared" si="15"/>
        <v>0</v>
      </c>
      <c r="G86" s="85">
        <f t="shared" si="15"/>
        <v>0</v>
      </c>
      <c r="H86" s="85">
        <f t="shared" si="15"/>
        <v>0</v>
      </c>
      <c r="I86" s="85">
        <f t="shared" si="15"/>
        <v>0</v>
      </c>
      <c r="J86" s="85">
        <f t="shared" si="15"/>
        <v>0</v>
      </c>
      <c r="K86" s="85">
        <f t="shared" si="15"/>
        <v>0</v>
      </c>
      <c r="L86" s="95"/>
    </row>
    <row r="87" spans="1:12" s="97" customFormat="1" ht="18.75" customHeight="1">
      <c r="A87" s="441" t="s">
        <v>83</v>
      </c>
      <c r="B87" s="88">
        <v>0</v>
      </c>
      <c r="C87" s="88">
        <v>0</v>
      </c>
      <c r="D87" s="524">
        <f>E87-'[17]Anexo 1 _ BAL ORC'!F87</f>
        <v>0</v>
      </c>
      <c r="E87" s="35">
        <v>0</v>
      </c>
      <c r="F87" s="88">
        <v>0</v>
      </c>
      <c r="G87" s="35">
        <f>H87-'[17]Anexo 1 _ BAL ORC'!H87</f>
        <v>0</v>
      </c>
      <c r="H87" s="530"/>
      <c r="I87" s="88"/>
      <c r="J87" s="80"/>
      <c r="K87" s="85">
        <f>(D87-(H87+I87))</f>
        <v>0</v>
      </c>
      <c r="L87" s="96"/>
    </row>
    <row r="88" spans="1:13" s="97" customFormat="1" ht="18.75" customHeight="1">
      <c r="A88" s="441" t="s">
        <v>84</v>
      </c>
      <c r="B88" s="88"/>
      <c r="C88" s="88">
        <v>0</v>
      </c>
      <c r="D88" s="524">
        <f>E88-'[17]Anexo 1 _ BAL ORC'!F88</f>
        <v>0</v>
      </c>
      <c r="E88" s="35">
        <v>0</v>
      </c>
      <c r="F88" s="88">
        <v>0</v>
      </c>
      <c r="G88" s="35">
        <f>H88-'[17]Anexo 1 _ BAL ORC'!H88</f>
        <v>0</v>
      </c>
      <c r="H88" s="530"/>
      <c r="I88" s="88"/>
      <c r="J88" s="80"/>
      <c r="K88" s="85">
        <f>(D88-(H88+I88))</f>
        <v>0</v>
      </c>
      <c r="L88" s="96"/>
      <c r="M88" s="680"/>
    </row>
    <row r="89" spans="1:15" s="93" customFormat="1" ht="18.75" customHeight="1">
      <c r="A89" s="44" t="s">
        <v>85</v>
      </c>
      <c r="B89" s="85">
        <f aca="true" t="shared" si="16" ref="B89:K89">SUM(B90:B91)</f>
        <v>0</v>
      </c>
      <c r="C89" s="85">
        <f t="shared" si="16"/>
        <v>0</v>
      </c>
      <c r="D89" s="528">
        <f t="shared" si="16"/>
        <v>0</v>
      </c>
      <c r="E89" s="528">
        <f t="shared" si="16"/>
        <v>0</v>
      </c>
      <c r="F89" s="85">
        <f t="shared" si="16"/>
        <v>0</v>
      </c>
      <c r="G89" s="85">
        <f t="shared" si="16"/>
        <v>0</v>
      </c>
      <c r="H89" s="85">
        <f t="shared" si="16"/>
        <v>0</v>
      </c>
      <c r="I89" s="85">
        <f t="shared" si="16"/>
        <v>0</v>
      </c>
      <c r="J89" s="85">
        <f t="shared" si="16"/>
        <v>0</v>
      </c>
      <c r="K89" s="85">
        <f t="shared" si="16"/>
        <v>0</v>
      </c>
      <c r="L89" s="626"/>
      <c r="M89" s="95"/>
      <c r="N89" s="95"/>
      <c r="O89" s="95"/>
    </row>
    <row r="90" spans="1:15" s="97" customFormat="1" ht="18.75" customHeight="1">
      <c r="A90" s="441" t="s">
        <v>83</v>
      </c>
      <c r="B90" s="88">
        <v>0</v>
      </c>
      <c r="C90" s="88">
        <v>0</v>
      </c>
      <c r="D90" s="524">
        <f>E90-'[17]Anexo 1 _ BAL ORC'!F90</f>
        <v>0</v>
      </c>
      <c r="E90" s="35">
        <v>0</v>
      </c>
      <c r="F90" s="88">
        <v>0</v>
      </c>
      <c r="G90" s="35">
        <f>H90-'[17]Anexo 1 _ BAL ORC'!H90</f>
        <v>0</v>
      </c>
      <c r="H90" s="530"/>
      <c r="I90" s="88"/>
      <c r="J90" s="80"/>
      <c r="K90" s="85">
        <f>(D90-(H90+I90))</f>
        <v>0</v>
      </c>
      <c r="L90" s="96"/>
      <c r="M90" s="96"/>
      <c r="N90" s="96"/>
      <c r="O90" s="96"/>
    </row>
    <row r="91" spans="1:15" s="97" customFormat="1" ht="18.75" customHeight="1">
      <c r="A91" s="442" t="s">
        <v>84</v>
      </c>
      <c r="B91" s="98">
        <v>0</v>
      </c>
      <c r="C91" s="98">
        <v>0</v>
      </c>
      <c r="D91" s="1353">
        <f>E91-'[17]Anexo 1 _ BAL ORC'!F91</f>
        <v>0</v>
      </c>
      <c r="E91" s="35">
        <v>0</v>
      </c>
      <c r="F91" s="98">
        <v>0</v>
      </c>
      <c r="G91" s="35">
        <f>H91-'[17]Anexo 1 _ BAL ORC'!H91</f>
        <v>0</v>
      </c>
      <c r="H91" s="530"/>
      <c r="I91" s="98"/>
      <c r="J91" s="99"/>
      <c r="K91" s="85">
        <f>(D91-(H91+I91))</f>
        <v>0</v>
      </c>
      <c r="L91" s="96"/>
      <c r="M91" s="96"/>
      <c r="N91" s="96"/>
      <c r="O91" s="96"/>
    </row>
    <row r="92" spans="1:12" s="93" customFormat="1" ht="18.75" customHeight="1">
      <c r="A92" s="102" t="s">
        <v>86</v>
      </c>
      <c r="B92" s="90">
        <f aca="true" t="shared" si="17" ref="B92:K92">B84</f>
        <v>2701778599</v>
      </c>
      <c r="C92" s="90">
        <f t="shared" si="17"/>
        <v>2725629077.27</v>
      </c>
      <c r="D92" s="100">
        <f t="shared" si="17"/>
        <v>307387080.9900001</v>
      </c>
      <c r="E92" s="549">
        <f t="shared" si="17"/>
        <v>1586811697.73</v>
      </c>
      <c r="F92" s="100">
        <f t="shared" si="17"/>
        <v>1138817379.54</v>
      </c>
      <c r="G92" s="1319">
        <f t="shared" si="17"/>
        <v>415487209.03000003</v>
      </c>
      <c r="H92" s="1319">
        <f t="shared" si="17"/>
        <v>683859078.8000001</v>
      </c>
      <c r="I92" s="1319">
        <f t="shared" si="17"/>
        <v>2041769998.4699998</v>
      </c>
      <c r="J92" s="1319">
        <f t="shared" si="17"/>
        <v>530644913.60999995</v>
      </c>
      <c r="K92" s="1319">
        <f t="shared" si="17"/>
        <v>0</v>
      </c>
      <c r="L92" s="95"/>
    </row>
    <row r="93" spans="1:12" s="26" customFormat="1" ht="18.75" customHeight="1">
      <c r="A93" s="102" t="s">
        <v>87</v>
      </c>
      <c r="B93" s="59" t="s">
        <v>21</v>
      </c>
      <c r="C93" s="59" t="s">
        <v>21</v>
      </c>
      <c r="D93" s="59" t="s">
        <v>21</v>
      </c>
      <c r="E93" s="590" t="s">
        <v>21</v>
      </c>
      <c r="F93" s="59" t="s">
        <v>21</v>
      </c>
      <c r="G93" s="59">
        <v>0</v>
      </c>
      <c r="H93" s="1320">
        <f>G59-H92</f>
        <v>113216538.96999991</v>
      </c>
      <c r="I93" s="1318">
        <f>-H93</f>
        <v>-113216538.96999991</v>
      </c>
      <c r="J93" s="103"/>
      <c r="K93" s="92"/>
      <c r="L93" s="1031"/>
    </row>
    <row r="94" spans="1:15" s="89" customFormat="1" ht="18.75" customHeight="1">
      <c r="A94" s="102" t="s">
        <v>88</v>
      </c>
      <c r="B94" s="90">
        <f>B84</f>
        <v>2701778599</v>
      </c>
      <c r="C94" s="90">
        <f>C84</f>
        <v>2725629077.27</v>
      </c>
      <c r="D94" s="90">
        <f>D84</f>
        <v>307387080.9900001</v>
      </c>
      <c r="E94" s="90">
        <f>E84</f>
        <v>1586811697.73</v>
      </c>
      <c r="F94" s="90">
        <f>F84</f>
        <v>1138817379.54</v>
      </c>
      <c r="G94" s="90">
        <f>G92+G93</f>
        <v>415487209.03000003</v>
      </c>
      <c r="H94" s="1321">
        <f>H93+H92</f>
        <v>797075617.77</v>
      </c>
      <c r="I94" s="1321">
        <f>I93+I92</f>
        <v>1928553459.5</v>
      </c>
      <c r="J94" s="1321">
        <f>J93+J92</f>
        <v>530644913.60999995</v>
      </c>
      <c r="K94" s="1321">
        <f>K93+K92</f>
        <v>0</v>
      </c>
      <c r="L94" s="104"/>
      <c r="M94" s="105"/>
      <c r="N94" s="105"/>
      <c r="O94" s="105"/>
    </row>
    <row r="95" spans="1:15" s="89" customFormat="1" ht="18.75" customHeight="1">
      <c r="A95" s="443" t="s">
        <v>89</v>
      </c>
      <c r="B95" s="106"/>
      <c r="C95" s="106"/>
      <c r="D95" s="106"/>
      <c r="E95" s="106"/>
      <c r="F95" s="106"/>
      <c r="G95" s="106"/>
      <c r="H95" s="106"/>
      <c r="I95" s="106"/>
      <c r="J95" s="46"/>
      <c r="K95" s="106"/>
      <c r="L95" s="104"/>
      <c r="M95" s="105"/>
      <c r="N95" s="105"/>
      <c r="O95" s="105"/>
    </row>
    <row r="96" spans="1:15" s="89" customFormat="1" ht="27.75" customHeight="1">
      <c r="A96" s="1440" t="s">
        <v>90</v>
      </c>
      <c r="B96" s="1440"/>
      <c r="C96" s="1440"/>
      <c r="D96" s="1440"/>
      <c r="E96" s="1440"/>
      <c r="F96" s="1440"/>
      <c r="G96" s="1440"/>
      <c r="H96" s="1440"/>
      <c r="I96" s="1440"/>
      <c r="J96" s="1440"/>
      <c r="K96" s="1440"/>
      <c r="L96" s="104"/>
      <c r="M96" s="105"/>
      <c r="N96" s="105"/>
      <c r="O96" s="105"/>
    </row>
    <row r="97" spans="1:15" s="89" customFormat="1" ht="18.75" customHeight="1">
      <c r="A97" s="444" t="s">
        <v>91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4"/>
      <c r="M97" s="105"/>
      <c r="N97" s="105"/>
      <c r="O97" s="105"/>
    </row>
    <row r="98" spans="1:15" s="89" customFormat="1" ht="18.75" customHeight="1">
      <c r="A98" s="444" t="s">
        <v>92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5"/>
      <c r="M98" s="105"/>
      <c r="N98" s="105"/>
      <c r="O98" s="105"/>
    </row>
    <row r="99" spans="1:15" s="89" customFormat="1" ht="15.75" customHeight="1">
      <c r="A99" s="445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5"/>
      <c r="M99" s="105"/>
      <c r="N99" s="105"/>
      <c r="O99" s="105"/>
    </row>
    <row r="100" spans="1:15" s="32" customFormat="1" ht="15.75" customHeight="1">
      <c r="A100" s="547" t="s">
        <v>952</v>
      </c>
      <c r="B100" s="982"/>
      <c r="C100" s="596"/>
      <c r="D100" s="446"/>
      <c r="E100" s="446"/>
      <c r="F100" s="447"/>
      <c r="G100" s="448"/>
      <c r="H100" s="448"/>
      <c r="I100" s="448"/>
      <c r="J100" s="449"/>
      <c r="K100" s="449"/>
      <c r="M100" s="31"/>
      <c r="N100" s="31"/>
      <c r="O100" s="31"/>
    </row>
    <row r="101" spans="1:15" s="32" customFormat="1" ht="15" customHeight="1">
      <c r="A101" s="449"/>
      <c r="B101" s="449"/>
      <c r="C101" s="449"/>
      <c r="D101" s="450"/>
      <c r="E101" s="717"/>
      <c r="F101" s="718"/>
      <c r="G101" s="449"/>
      <c r="H101" s="450"/>
      <c r="I101" s="450"/>
      <c r="J101" s="449"/>
      <c r="K101" s="449"/>
      <c r="M101" s="31"/>
      <c r="N101" s="31"/>
      <c r="O101" s="31"/>
    </row>
    <row r="102" spans="1:15" s="32" customFormat="1" ht="15.75" customHeight="1">
      <c r="A102" s="108"/>
      <c r="B102" s="109"/>
      <c r="C102" s="2"/>
      <c r="D102" s="110"/>
      <c r="E102" s="2"/>
      <c r="F102" s="110"/>
      <c r="G102" s="2"/>
      <c r="H102" s="2"/>
      <c r="I102" s="2"/>
      <c r="J102" s="449"/>
      <c r="K102" s="449"/>
      <c r="M102" s="31"/>
      <c r="N102" s="31"/>
      <c r="O102" s="31"/>
    </row>
    <row r="103" spans="1:15" s="32" customFormat="1" ht="15.75" customHeight="1">
      <c r="A103" s="451"/>
      <c r="B103" s="451"/>
      <c r="C103" s="452"/>
      <c r="D103" s="2"/>
      <c r="E103" s="2"/>
      <c r="F103" s="453"/>
      <c r="G103" s="2"/>
      <c r="H103" s="2"/>
      <c r="I103" s="2"/>
      <c r="J103" s="449"/>
      <c r="K103" s="449"/>
      <c r="M103" s="31"/>
      <c r="N103" s="31"/>
      <c r="O103" s="31"/>
    </row>
    <row r="104" spans="1:15" s="32" customFormat="1" ht="15.75" customHeight="1">
      <c r="A104" s="454"/>
      <c r="B104" s="454"/>
      <c r="C104" s="454"/>
      <c r="D104" s="454"/>
      <c r="E104" s="449"/>
      <c r="F104" s="453"/>
      <c r="G104" s="2"/>
      <c r="H104" s="2"/>
      <c r="I104" s="2"/>
      <c r="J104" s="449"/>
      <c r="K104" s="455"/>
      <c r="M104" s="31"/>
      <c r="N104" s="31"/>
      <c r="O104" s="31"/>
    </row>
    <row r="105" spans="13:21" s="474" customFormat="1" ht="15.75" customHeight="1">
      <c r="M105" s="475"/>
      <c r="N105" s="475"/>
      <c r="O105" s="475"/>
      <c r="U105" s="475"/>
    </row>
    <row r="106" spans="6:11" ht="15.75" customHeight="1">
      <c r="F106" s="106"/>
      <c r="G106" s="106"/>
      <c r="H106" s="106"/>
      <c r="I106" s="106"/>
      <c r="J106" s="106"/>
      <c r="K106" s="106"/>
    </row>
    <row r="107" spans="6:11" ht="15.75" customHeight="1">
      <c r="F107" s="106"/>
      <c r="G107" s="106"/>
      <c r="H107" s="106"/>
      <c r="I107" s="106"/>
      <c r="J107" s="106"/>
      <c r="K107" s="106"/>
    </row>
    <row r="108" spans="6:11" ht="15.75" customHeight="1">
      <c r="F108" s="106"/>
      <c r="G108" s="106"/>
      <c r="H108" s="106"/>
      <c r="I108" s="106"/>
      <c r="J108" s="106"/>
      <c r="K108" s="106"/>
    </row>
    <row r="109" spans="6:11" ht="15.75" customHeight="1">
      <c r="F109" s="106"/>
      <c r="G109" s="106"/>
      <c r="H109" s="106"/>
      <c r="I109" s="106"/>
      <c r="J109" s="106"/>
      <c r="K109" s="106"/>
    </row>
  </sheetData>
  <sheetProtection/>
  <mergeCells count="127">
    <mergeCell ref="D58:E58"/>
    <mergeCell ref="A6:A8"/>
    <mergeCell ref="B6:B8"/>
    <mergeCell ref="C6:C7"/>
    <mergeCell ref="A66:F66"/>
    <mergeCell ref="A96:K96"/>
    <mergeCell ref="K68:K70"/>
    <mergeCell ref="D59:E59"/>
    <mergeCell ref="G59:I59"/>
    <mergeCell ref="D60:E60"/>
    <mergeCell ref="G60:I60"/>
    <mergeCell ref="H66:J66"/>
    <mergeCell ref="A63:F63"/>
    <mergeCell ref="G54:I54"/>
    <mergeCell ref="G55:I55"/>
    <mergeCell ref="G56:I56"/>
    <mergeCell ref="D57:E57"/>
    <mergeCell ref="G57:I57"/>
    <mergeCell ref="D55:E55"/>
    <mergeCell ref="D56:E56"/>
    <mergeCell ref="D54:E54"/>
    <mergeCell ref="D49:E49"/>
    <mergeCell ref="G49:I49"/>
    <mergeCell ref="G50:I50"/>
    <mergeCell ref="G51:I51"/>
    <mergeCell ref="G52:I52"/>
    <mergeCell ref="G53:I53"/>
    <mergeCell ref="D52:E52"/>
    <mergeCell ref="D53:E53"/>
    <mergeCell ref="D50:E50"/>
    <mergeCell ref="D51:E51"/>
    <mergeCell ref="D46:E46"/>
    <mergeCell ref="G46:I46"/>
    <mergeCell ref="D47:E47"/>
    <mergeCell ref="G47:I47"/>
    <mergeCell ref="D48:E48"/>
    <mergeCell ref="G48:I48"/>
    <mergeCell ref="D43:E43"/>
    <mergeCell ref="G43:I43"/>
    <mergeCell ref="D44:E44"/>
    <mergeCell ref="G44:I44"/>
    <mergeCell ref="D45:E45"/>
    <mergeCell ref="G45:I45"/>
    <mergeCell ref="D40:E40"/>
    <mergeCell ref="G40:I40"/>
    <mergeCell ref="D41:E41"/>
    <mergeCell ref="G41:I41"/>
    <mergeCell ref="D42:E42"/>
    <mergeCell ref="G42:I42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1:E31"/>
    <mergeCell ref="G31:I31"/>
    <mergeCell ref="D32:E32"/>
    <mergeCell ref="G32:I32"/>
    <mergeCell ref="D33:E33"/>
    <mergeCell ref="G33:I33"/>
    <mergeCell ref="D28:E28"/>
    <mergeCell ref="G28:I28"/>
    <mergeCell ref="D29:E29"/>
    <mergeCell ref="G29:I29"/>
    <mergeCell ref="D30:E30"/>
    <mergeCell ref="G30:I30"/>
    <mergeCell ref="D25:E25"/>
    <mergeCell ref="G25:I25"/>
    <mergeCell ref="D26:E26"/>
    <mergeCell ref="G26:I26"/>
    <mergeCell ref="D27:E27"/>
    <mergeCell ref="G27:I27"/>
    <mergeCell ref="G21:I21"/>
    <mergeCell ref="G22:I22"/>
    <mergeCell ref="D23:E23"/>
    <mergeCell ref="G23:I23"/>
    <mergeCell ref="D24:E24"/>
    <mergeCell ref="G24:I24"/>
    <mergeCell ref="D21:E21"/>
    <mergeCell ref="D22:E22"/>
    <mergeCell ref="D18:E18"/>
    <mergeCell ref="G18:I18"/>
    <mergeCell ref="D19:E19"/>
    <mergeCell ref="G19:I19"/>
    <mergeCell ref="D20:E20"/>
    <mergeCell ref="G20:I20"/>
    <mergeCell ref="D15:E15"/>
    <mergeCell ref="G15:I15"/>
    <mergeCell ref="D16:E16"/>
    <mergeCell ref="G16:I16"/>
    <mergeCell ref="D17:E17"/>
    <mergeCell ref="G17:I17"/>
    <mergeCell ref="D12:E12"/>
    <mergeCell ref="G12:I12"/>
    <mergeCell ref="D13:E13"/>
    <mergeCell ref="G13:I13"/>
    <mergeCell ref="D14:E14"/>
    <mergeCell ref="G14:I14"/>
    <mergeCell ref="D9:E9"/>
    <mergeCell ref="G9:I9"/>
    <mergeCell ref="D10:E10"/>
    <mergeCell ref="G10:I10"/>
    <mergeCell ref="D11:E11"/>
    <mergeCell ref="G11:I11"/>
    <mergeCell ref="A64:F64"/>
    <mergeCell ref="A65:F65"/>
    <mergeCell ref="G58:I58"/>
    <mergeCell ref="G1:H1"/>
    <mergeCell ref="A4:F4"/>
    <mergeCell ref="D6:H6"/>
    <mergeCell ref="D7:E7"/>
    <mergeCell ref="G7:I7"/>
    <mergeCell ref="D8:E8"/>
    <mergeCell ref="G8:I8"/>
    <mergeCell ref="J68:J70"/>
    <mergeCell ref="I68:I70"/>
    <mergeCell ref="D68:E68"/>
    <mergeCell ref="F68:F70"/>
    <mergeCell ref="G68:H69"/>
    <mergeCell ref="G70:G71"/>
  </mergeCells>
  <printOptions horizontalCentered="1"/>
  <pageMargins left="0.1968503937007874" right="0.2755905511811024" top="0.7874015748031497" bottom="0.3937007874015748" header="0.5118110236220472" footer="0.5118110236220472"/>
  <pageSetup fitToHeight="0" fitToWidth="1" horizontalDpi="300" verticalDpi="300" orientation="portrait" paperSize="9" scale="44" r:id="rId4"/>
  <rowBreaks count="1" manualBreakCount="1">
    <brk id="61" max="255" man="1"/>
  </rowBreaks>
  <ignoredErrors>
    <ignoredError sqref="C18:D18 C24:D24 C42:D42 C30:D30 D39 D77:E77 C26:D26 C15 G77 K77 F10 D54 K89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160"/>
  <sheetViews>
    <sheetView zoomScalePageLayoutView="0" workbookViewId="0" topLeftCell="A133">
      <selection activeCell="G137" sqref="G137"/>
    </sheetView>
  </sheetViews>
  <sheetFormatPr defaultColWidth="9.140625" defaultRowHeight="12.75"/>
  <cols>
    <col min="2" max="2" width="50.00390625" style="0" customWidth="1"/>
    <col min="3" max="3" width="13.8515625" style="0" customWidth="1"/>
    <col min="4" max="4" width="14.28125" style="0" customWidth="1"/>
    <col min="5" max="5" width="13.00390625" style="0" customWidth="1"/>
    <col min="6" max="6" width="9.57421875" style="0" customWidth="1"/>
    <col min="7" max="7" width="13.7109375" style="0" customWidth="1"/>
    <col min="8" max="8" width="10.8515625" style="0" customWidth="1"/>
    <col min="9" max="9" width="10.00390625" style="0" customWidth="1"/>
    <col min="10" max="10" width="15.00390625" style="0" bestFit="1" customWidth="1"/>
    <col min="11" max="11" width="17.7109375" style="0" bestFit="1" customWidth="1"/>
    <col min="12" max="12" width="21.57421875" style="0" customWidth="1"/>
    <col min="13" max="13" width="12.8515625" style="0" bestFit="1" customWidth="1"/>
    <col min="14" max="14" width="12.00390625" style="0" bestFit="1" customWidth="1"/>
    <col min="16" max="17" width="14.57421875" style="0" bestFit="1" customWidth="1"/>
    <col min="18" max="18" width="12.00390625" style="0" bestFit="1" customWidth="1"/>
    <col min="19" max="19" width="11.140625" style="0" bestFit="1" customWidth="1"/>
    <col min="20" max="20" width="9.8515625" style="0" bestFit="1" customWidth="1"/>
    <col min="21" max="21" width="12.8515625" style="0" bestFit="1" customWidth="1"/>
    <col min="22" max="22" width="11.140625" style="0" bestFit="1" customWidth="1"/>
    <col min="23" max="23" width="12.8515625" style="0" bestFit="1" customWidth="1"/>
    <col min="24" max="24" width="12.00390625" style="0" bestFit="1" customWidth="1"/>
    <col min="25" max="25" width="13.57421875" style="0" bestFit="1" customWidth="1"/>
    <col min="26" max="26" width="11.7109375" style="0" bestFit="1" customWidth="1"/>
  </cols>
  <sheetData>
    <row r="1" spans="1:8" ht="16.5" customHeight="1">
      <c r="A1" s="1988" t="s">
        <v>808</v>
      </c>
      <c r="B1" s="1988"/>
      <c r="C1" s="1988"/>
      <c r="D1" s="1988"/>
      <c r="E1" s="1988"/>
      <c r="F1" s="1988"/>
      <c r="G1" s="1988"/>
      <c r="H1" s="780"/>
    </row>
    <row r="2" spans="1:8" ht="14.25" customHeight="1">
      <c r="A2" s="1988" t="s">
        <v>0</v>
      </c>
      <c r="B2" s="1988"/>
      <c r="C2" s="1988"/>
      <c r="D2" s="1988"/>
      <c r="E2" s="1988"/>
      <c r="F2" s="1988"/>
      <c r="G2" s="1988"/>
      <c r="H2" s="780"/>
    </row>
    <row r="3" spans="1:8" ht="15" customHeight="1">
      <c r="A3" s="2008" t="s">
        <v>740</v>
      </c>
      <c r="B3" s="2008"/>
      <c r="C3" s="2008"/>
      <c r="D3" s="2008"/>
      <c r="E3" s="2008"/>
      <c r="F3" s="2008"/>
      <c r="G3" s="2009"/>
      <c r="H3" s="780"/>
    </row>
    <row r="4" spans="1:8" ht="15" customHeight="1">
      <c r="A4" s="1988" t="s">
        <v>2</v>
      </c>
      <c r="B4" s="1988"/>
      <c r="C4" s="1988"/>
      <c r="D4" s="1988"/>
      <c r="E4" s="1988"/>
      <c r="F4" s="1988"/>
      <c r="G4" s="1988"/>
      <c r="H4" s="780"/>
    </row>
    <row r="5" spans="1:8" ht="13.5" customHeight="1">
      <c r="A5" s="2061" t="str">
        <f>'Anexo 1 _ BAL ORC'!A4:F4</f>
        <v>Referência: JANEIRO-ABRIL/2015; BIMESTRE: MARÇO-ABRIL/2015</v>
      </c>
      <c r="B5" s="2061"/>
      <c r="C5" s="2061"/>
      <c r="D5" s="2061"/>
      <c r="E5" s="1100"/>
      <c r="F5" s="1100"/>
      <c r="G5" s="781"/>
      <c r="H5" s="782"/>
    </row>
    <row r="6" spans="1:8" ht="16.5" customHeight="1">
      <c r="A6" s="779"/>
      <c r="B6" s="779"/>
      <c r="C6" s="779"/>
      <c r="D6" s="779"/>
      <c r="E6" s="2060" t="str">
        <f>'Anexo 1 _ BAL ORC'!H3</f>
        <v>Publicação: Diário Oficial do Município nº 96</v>
      </c>
      <c r="F6" s="2060"/>
      <c r="G6" s="2060"/>
      <c r="H6" s="782"/>
    </row>
    <row r="7" spans="1:8" ht="18" customHeight="1">
      <c r="A7" s="783"/>
      <c r="B7" s="784"/>
      <c r="C7" s="784"/>
      <c r="D7" s="784"/>
      <c r="E7" s="2060" t="str">
        <f>'Anexo 1 _ BAL ORC'!H4</f>
        <v>Data: 22/05/2015</v>
      </c>
      <c r="F7" s="2060"/>
      <c r="G7" s="2060"/>
      <c r="H7" s="474"/>
    </row>
    <row r="8" spans="1:9" ht="18" customHeight="1">
      <c r="A8" s="784" t="s">
        <v>693</v>
      </c>
      <c r="B8" s="474"/>
      <c r="C8" s="1101"/>
      <c r="D8" s="474"/>
      <c r="E8" s="474"/>
      <c r="F8" s="474"/>
      <c r="G8" s="1102"/>
      <c r="H8" s="785"/>
      <c r="I8" s="785" t="s">
        <v>536</v>
      </c>
    </row>
    <row r="9" spans="1:9" s="788" customFormat="1" ht="19.5" customHeight="1">
      <c r="A9" s="2053" t="s">
        <v>694</v>
      </c>
      <c r="B9" s="2054"/>
      <c r="C9" s="991" t="s">
        <v>438</v>
      </c>
      <c r="D9" s="991" t="s">
        <v>438</v>
      </c>
      <c r="E9" s="2002" t="s">
        <v>216</v>
      </c>
      <c r="F9" s="2048"/>
      <c r="G9" s="2048"/>
      <c r="H9" s="2048"/>
      <c r="I9" s="2003"/>
    </row>
    <row r="10" spans="1:9" s="788" customFormat="1" ht="20.25" customHeight="1">
      <c r="A10" s="2055"/>
      <c r="B10" s="2056"/>
      <c r="C10" s="992" t="s">
        <v>258</v>
      </c>
      <c r="D10" s="992" t="s">
        <v>259</v>
      </c>
      <c r="E10" s="2028" t="s">
        <v>903</v>
      </c>
      <c r="F10" s="2025"/>
      <c r="G10" s="1970" t="s">
        <v>99</v>
      </c>
      <c r="H10" s="2049"/>
      <c r="I10" s="1971"/>
    </row>
    <row r="11" spans="1:9" s="788" customFormat="1" ht="18" customHeight="1">
      <c r="A11" s="2057"/>
      <c r="B11" s="2058"/>
      <c r="C11" s="993"/>
      <c r="D11" s="1097" t="s">
        <v>105</v>
      </c>
      <c r="E11" s="2047"/>
      <c r="F11" s="2027"/>
      <c r="G11" s="1974" t="s">
        <v>695</v>
      </c>
      <c r="H11" s="2050"/>
      <c r="I11" s="1975"/>
    </row>
    <row r="12" spans="1:9" s="789" customFormat="1" ht="18.75" customHeight="1">
      <c r="A12" s="2059" t="s">
        <v>696</v>
      </c>
      <c r="B12" s="2059"/>
      <c r="C12" s="990">
        <f>SUM(C13:C20)</f>
        <v>675088358</v>
      </c>
      <c r="D12" s="990">
        <f>SUM(D13:D20)</f>
        <v>675088358</v>
      </c>
      <c r="E12" s="2064">
        <f>SUM(E13:E20)</f>
        <v>178882294.25000003</v>
      </c>
      <c r="F12" s="2065"/>
      <c r="G12" s="1986">
        <f aca="true" t="shared" si="0" ref="G12:G29">E12/D12</f>
        <v>0.2649761207258147</v>
      </c>
      <c r="H12" s="1986"/>
      <c r="I12" s="1986"/>
    </row>
    <row r="13" spans="1:9" s="788" customFormat="1" ht="26.25" customHeight="1">
      <c r="A13" s="2029" t="s">
        <v>697</v>
      </c>
      <c r="B13" s="2030"/>
      <c r="C13" s="790">
        <v>51278597</v>
      </c>
      <c r="D13" s="790">
        <f aca="true" t="shared" si="1" ref="D13:D20">C13</f>
        <v>51278597</v>
      </c>
      <c r="E13" s="2037">
        <f>693862.85-13275.33</f>
        <v>680587.52</v>
      </c>
      <c r="F13" s="2038"/>
      <c r="G13" s="1987">
        <f t="shared" si="0"/>
        <v>0.013272350645630964</v>
      </c>
      <c r="H13" s="1987"/>
      <c r="I13" s="1987"/>
    </row>
    <row r="14" spans="1:9" s="788" customFormat="1" ht="25.5" customHeight="1">
      <c r="A14" s="2029" t="s">
        <v>698</v>
      </c>
      <c r="B14" s="2030"/>
      <c r="C14" s="790">
        <v>30629116</v>
      </c>
      <c r="D14" s="790">
        <f t="shared" si="1"/>
        <v>30629116</v>
      </c>
      <c r="E14" s="2037">
        <f>9794326.19-11264.52</f>
        <v>9783061.67</v>
      </c>
      <c r="F14" s="2038"/>
      <c r="G14" s="1987">
        <f>E14/D14</f>
        <v>0.3194039837780496</v>
      </c>
      <c r="H14" s="1987"/>
      <c r="I14" s="1987"/>
    </row>
    <row r="15" spans="1:9" s="788" customFormat="1" ht="25.5" customHeight="1">
      <c r="A15" s="2029" t="s">
        <v>699</v>
      </c>
      <c r="B15" s="2030"/>
      <c r="C15" s="790">
        <v>509804371</v>
      </c>
      <c r="D15" s="790">
        <f t="shared" si="1"/>
        <v>509804371</v>
      </c>
      <c r="E15" s="2037">
        <f>137835905.3-42131.25</f>
        <v>137793774.05</v>
      </c>
      <c r="F15" s="2038"/>
      <c r="G15" s="1987">
        <f>E15/D15</f>
        <v>0.27028754928034937</v>
      </c>
      <c r="H15" s="1987"/>
      <c r="I15" s="1987"/>
    </row>
    <row r="16" spans="1:9" s="788" customFormat="1" ht="26.25" customHeight="1">
      <c r="A16" s="2029" t="s">
        <v>700</v>
      </c>
      <c r="B16" s="2030"/>
      <c r="C16" s="790">
        <v>43270249</v>
      </c>
      <c r="D16" s="790">
        <f t="shared" si="1"/>
        <v>43270249</v>
      </c>
      <c r="E16" s="2037">
        <f>17990867.61-4409.29</f>
        <v>17986458.32</v>
      </c>
      <c r="F16" s="2038"/>
      <c r="G16" s="1987">
        <f>E16/D16</f>
        <v>0.41567725482698287</v>
      </c>
      <c r="H16" s="1987"/>
      <c r="I16" s="1987"/>
    </row>
    <row r="17" spans="1:9" s="788" customFormat="1" ht="27" customHeight="1">
      <c r="A17" s="2029" t="s">
        <v>701</v>
      </c>
      <c r="B17" s="2030"/>
      <c r="C17" s="1103">
        <v>0</v>
      </c>
      <c r="D17" s="1103">
        <f t="shared" si="1"/>
        <v>0</v>
      </c>
      <c r="E17" s="2062">
        <v>0</v>
      </c>
      <c r="F17" s="2063"/>
      <c r="G17" s="1987"/>
      <c r="H17" s="1987"/>
      <c r="I17" s="1987"/>
    </row>
    <row r="18" spans="1:9" s="788" customFormat="1" ht="26.25" customHeight="1">
      <c r="A18" s="2029" t="s">
        <v>595</v>
      </c>
      <c r="B18" s="2030"/>
      <c r="C18" s="790">
        <f>660661+1758392</f>
        <v>2419053</v>
      </c>
      <c r="D18" s="790">
        <f t="shared" si="1"/>
        <v>2419053</v>
      </c>
      <c r="E18" s="2037">
        <f>570021.67+2504.19</f>
        <v>572525.86</v>
      </c>
      <c r="F18" s="2038"/>
      <c r="G18" s="1987">
        <f t="shared" si="0"/>
        <v>0.23667354952537212</v>
      </c>
      <c r="H18" s="1987"/>
      <c r="I18" s="1987"/>
    </row>
    <row r="19" spans="1:9" s="788" customFormat="1" ht="26.25" customHeight="1">
      <c r="A19" s="2029" t="s">
        <v>596</v>
      </c>
      <c r="B19" s="2030"/>
      <c r="C19" s="790">
        <f>11562881+19974553</f>
        <v>31537434</v>
      </c>
      <c r="D19" s="790">
        <f t="shared" si="1"/>
        <v>31537434</v>
      </c>
      <c r="E19" s="2037">
        <f>4222334.38+5585115.43</f>
        <v>9807449.809999999</v>
      </c>
      <c r="F19" s="2038"/>
      <c r="G19" s="1987">
        <f t="shared" si="0"/>
        <v>0.310978052621529</v>
      </c>
      <c r="H19" s="1987"/>
      <c r="I19" s="1987"/>
    </row>
    <row r="20" spans="1:9" s="788" customFormat="1" ht="26.25" customHeight="1">
      <c r="A20" s="2029" t="s">
        <v>702</v>
      </c>
      <c r="B20" s="2030"/>
      <c r="C20" s="790">
        <f>3087130+3062408</f>
        <v>6149538</v>
      </c>
      <c r="D20" s="790">
        <f t="shared" si="1"/>
        <v>6149538</v>
      </c>
      <c r="E20" s="2037">
        <f>1237242.32+1021194.7</f>
        <v>2258437.02</v>
      </c>
      <c r="F20" s="2038"/>
      <c r="G20" s="1987">
        <f t="shared" si="0"/>
        <v>0.3672531204783189</v>
      </c>
      <c r="H20" s="1987"/>
      <c r="I20" s="1987"/>
    </row>
    <row r="21" spans="1:9" s="789" customFormat="1" ht="27" customHeight="1">
      <c r="A21" s="2031" t="s">
        <v>703</v>
      </c>
      <c r="B21" s="2041"/>
      <c r="C21" s="990">
        <f>SUM(C22:C27)</f>
        <v>1108751879</v>
      </c>
      <c r="D21" s="990">
        <f>SUM(D22:D27)</f>
        <v>1108751879</v>
      </c>
      <c r="E21" s="2039">
        <f>SUM(E22:E27)</f>
        <v>326898660.78000003</v>
      </c>
      <c r="F21" s="2040"/>
      <c r="G21" s="1987">
        <f t="shared" si="0"/>
        <v>0.2948348200995473</v>
      </c>
      <c r="H21" s="1987"/>
      <c r="I21" s="1987"/>
    </row>
    <row r="22" spans="1:9" s="789" customFormat="1" ht="24" customHeight="1">
      <c r="A22" s="2029" t="s">
        <v>704</v>
      </c>
      <c r="B22" s="2030"/>
      <c r="C22" s="790">
        <v>559790291</v>
      </c>
      <c r="D22" s="790">
        <f>C22</f>
        <v>559790291</v>
      </c>
      <c r="E22" s="2037">
        <v>153108383.26</v>
      </c>
      <c r="F22" s="2038"/>
      <c r="G22" s="1987">
        <f t="shared" si="0"/>
        <v>0.2735102514666514</v>
      </c>
      <c r="H22" s="1987"/>
      <c r="I22" s="1987"/>
    </row>
    <row r="23" spans="1:9" s="789" customFormat="1" ht="24" customHeight="1">
      <c r="A23" s="2029" t="s">
        <v>705</v>
      </c>
      <c r="B23" s="2030"/>
      <c r="C23" s="790">
        <v>24850</v>
      </c>
      <c r="D23" s="790">
        <f>C23</f>
        <v>24850</v>
      </c>
      <c r="E23" s="2037">
        <v>4171.46</v>
      </c>
      <c r="F23" s="2038"/>
      <c r="G23" s="1987">
        <f t="shared" si="0"/>
        <v>0.1678655935613682</v>
      </c>
      <c r="H23" s="1987"/>
      <c r="I23" s="1987"/>
    </row>
    <row r="24" spans="1:9" s="789" customFormat="1" ht="23.25" customHeight="1">
      <c r="A24" s="2029" t="s">
        <v>706</v>
      </c>
      <c r="B24" s="2030"/>
      <c r="C24" s="790">
        <v>88974010</v>
      </c>
      <c r="D24" s="790">
        <f>C24</f>
        <v>88974010</v>
      </c>
      <c r="E24" s="2037">
        <v>47945736.53</v>
      </c>
      <c r="F24" s="2038"/>
      <c r="G24" s="1987">
        <f t="shared" si="0"/>
        <v>0.5388735039591899</v>
      </c>
      <c r="H24" s="1987"/>
      <c r="I24" s="1987"/>
    </row>
    <row r="25" spans="1:9" s="789" customFormat="1" ht="23.25" customHeight="1">
      <c r="A25" s="2029" t="s">
        <v>707</v>
      </c>
      <c r="B25" s="2030"/>
      <c r="C25" s="790">
        <v>452602097</v>
      </c>
      <c r="D25" s="790">
        <f>C25</f>
        <v>452602097</v>
      </c>
      <c r="E25" s="2037">
        <v>124432920.79</v>
      </c>
      <c r="F25" s="2038"/>
      <c r="G25" s="1987">
        <f t="shared" si="0"/>
        <v>0.27492784857777625</v>
      </c>
      <c r="H25" s="1987"/>
      <c r="I25" s="1987"/>
    </row>
    <row r="26" spans="1:9" s="789" customFormat="1" ht="23.25" customHeight="1">
      <c r="A26" s="2029" t="s">
        <v>708</v>
      </c>
      <c r="B26" s="2030"/>
      <c r="C26" s="790">
        <v>3654191</v>
      </c>
      <c r="D26" s="790">
        <f>C26</f>
        <v>3654191</v>
      </c>
      <c r="E26" s="2037">
        <v>0</v>
      </c>
      <c r="F26" s="2038"/>
      <c r="G26" s="1987">
        <f t="shared" si="0"/>
        <v>0</v>
      </c>
      <c r="H26" s="1987"/>
      <c r="I26" s="1987"/>
    </row>
    <row r="27" spans="1:9" s="789" customFormat="1" ht="24.75" customHeight="1">
      <c r="A27" s="2029" t="s">
        <v>709</v>
      </c>
      <c r="B27" s="2030"/>
      <c r="C27" s="1104">
        <f>SUM(C28:C29)</f>
        <v>3706440</v>
      </c>
      <c r="D27" s="1104">
        <f>SUM(D28:D29)</f>
        <v>3706440</v>
      </c>
      <c r="E27" s="2064">
        <f>E28+E29</f>
        <v>1407448.74</v>
      </c>
      <c r="F27" s="2065"/>
      <c r="G27" s="1987">
        <f t="shared" si="0"/>
        <v>0.3797306148217697</v>
      </c>
      <c r="H27" s="1987"/>
      <c r="I27" s="1987"/>
    </row>
    <row r="28" spans="1:9" s="788" customFormat="1" ht="24.75" customHeight="1">
      <c r="A28" s="2029" t="s">
        <v>710</v>
      </c>
      <c r="B28" s="2030"/>
      <c r="C28" s="790">
        <v>3469208</v>
      </c>
      <c r="D28" s="790">
        <f>C28</f>
        <v>3469208</v>
      </c>
      <c r="E28" s="2037">
        <v>904314.3</v>
      </c>
      <c r="F28" s="2038"/>
      <c r="G28" s="1987">
        <f t="shared" si="0"/>
        <v>0.26066880394603037</v>
      </c>
      <c r="H28" s="1987"/>
      <c r="I28" s="1987"/>
    </row>
    <row r="29" spans="1:9" s="788" customFormat="1" ht="23.25" customHeight="1">
      <c r="A29" s="2029" t="s">
        <v>843</v>
      </c>
      <c r="B29" s="2030"/>
      <c r="C29" s="1105">
        <v>237232</v>
      </c>
      <c r="D29" s="790">
        <f>C29</f>
        <v>237232</v>
      </c>
      <c r="E29" s="2037">
        <v>503134.44</v>
      </c>
      <c r="F29" s="2038"/>
      <c r="G29" s="1987">
        <f t="shared" si="0"/>
        <v>2.1208540163215757</v>
      </c>
      <c r="H29" s="1987"/>
      <c r="I29" s="1987"/>
    </row>
    <row r="30" spans="1:9" s="788" customFormat="1" ht="32.25" customHeight="1">
      <c r="A30" s="2067" t="s">
        <v>711</v>
      </c>
      <c r="B30" s="2068"/>
      <c r="C30" s="990">
        <f>SUM(C12+C21)</f>
        <v>1783840237</v>
      </c>
      <c r="D30" s="990">
        <f>SUM(D12+D21)</f>
        <v>1783840237</v>
      </c>
      <c r="E30" s="2064">
        <f>SUM(E12+E21)</f>
        <v>505780955.0300001</v>
      </c>
      <c r="F30" s="2065"/>
      <c r="G30" s="1986">
        <f>E30/D30</f>
        <v>0.28353489541227345</v>
      </c>
      <c r="H30" s="1986"/>
      <c r="I30" s="1986"/>
    </row>
    <row r="31" spans="1:11" s="788" customFormat="1" ht="18.75" customHeight="1">
      <c r="A31" s="883"/>
      <c r="B31" s="883"/>
      <c r="C31" s="884"/>
      <c r="D31" s="884"/>
      <c r="E31" s="885"/>
      <c r="F31" s="885"/>
      <c r="G31" s="886"/>
      <c r="H31" s="787"/>
      <c r="K31" s="1306"/>
    </row>
    <row r="32" spans="1:8" s="788" customFormat="1" ht="19.5" customHeight="1">
      <c r="A32" s="883"/>
      <c r="B32" s="883"/>
      <c r="C32" s="887"/>
      <c r="D32" s="887"/>
      <c r="E32" s="888"/>
      <c r="F32" s="888"/>
      <c r="G32" s="889"/>
      <c r="H32" s="787"/>
    </row>
    <row r="33" spans="1:11" s="788" customFormat="1" ht="20.25" customHeight="1">
      <c r="A33" s="2052" t="s">
        <v>799</v>
      </c>
      <c r="B33" s="2052"/>
      <c r="C33" s="2069" t="s">
        <v>400</v>
      </c>
      <c r="D33" s="2069" t="s">
        <v>723</v>
      </c>
      <c r="E33" s="2087" t="s">
        <v>216</v>
      </c>
      <c r="F33" s="2088"/>
      <c r="G33" s="2088"/>
      <c r="H33" s="2088"/>
      <c r="I33" s="2089"/>
      <c r="K33" s="797"/>
    </row>
    <row r="34" spans="1:9" s="788" customFormat="1" ht="30.75" customHeight="1">
      <c r="A34" s="2052"/>
      <c r="B34" s="2052"/>
      <c r="C34" s="2070"/>
      <c r="D34" s="2070"/>
      <c r="E34" s="2045" t="s">
        <v>721</v>
      </c>
      <c r="F34" s="2046"/>
      <c r="G34" s="2090" t="s">
        <v>913</v>
      </c>
      <c r="H34" s="2091"/>
      <c r="I34" s="2092"/>
    </row>
    <row r="35" spans="1:9" s="788" customFormat="1" ht="24.75" customHeight="1">
      <c r="A35" s="1994" t="s">
        <v>712</v>
      </c>
      <c r="B35" s="1994"/>
      <c r="C35" s="990">
        <f>C36+C37+C38+C39</f>
        <v>340497274</v>
      </c>
      <c r="D35" s="990">
        <f>D36+D37+D38+D39</f>
        <v>340497274</v>
      </c>
      <c r="E35" s="2039">
        <f>E36+E37+E38+E39</f>
        <v>98293026.8</v>
      </c>
      <c r="F35" s="2040"/>
      <c r="G35" s="1987">
        <f aca="true" t="shared" si="2" ref="G35:G43">E35/D35</f>
        <v>0.28867493018460993</v>
      </c>
      <c r="H35" s="1987"/>
      <c r="I35" s="1987"/>
    </row>
    <row r="36" spans="1:9" s="788" customFormat="1" ht="21.75" customHeight="1">
      <c r="A36" s="2066" t="s">
        <v>713</v>
      </c>
      <c r="B36" s="1994"/>
      <c r="C36" s="790">
        <v>335191066</v>
      </c>
      <c r="D36" s="790">
        <f>C36</f>
        <v>335191066</v>
      </c>
      <c r="E36" s="2037">
        <v>95839120.6</v>
      </c>
      <c r="F36" s="2038"/>
      <c r="G36" s="1987">
        <f t="shared" si="2"/>
        <v>0.2859238515623206</v>
      </c>
      <c r="H36" s="1987"/>
      <c r="I36" s="1987"/>
    </row>
    <row r="37" spans="1:9" s="788" customFormat="1" ht="25.5" customHeight="1">
      <c r="A37" s="2066" t="s">
        <v>714</v>
      </c>
      <c r="B37" s="2066"/>
      <c r="C37" s="790">
        <v>5306208</v>
      </c>
      <c r="D37" s="790">
        <f>C37</f>
        <v>5306208</v>
      </c>
      <c r="E37" s="2037">
        <v>2453906.2</v>
      </c>
      <c r="F37" s="2038"/>
      <c r="G37" s="1987">
        <f t="shared" si="2"/>
        <v>0.462459481422515</v>
      </c>
      <c r="H37" s="1987"/>
      <c r="I37" s="1987"/>
    </row>
    <row r="38" spans="1:9" s="788" customFormat="1" ht="24" customHeight="1">
      <c r="A38" s="2066" t="s">
        <v>715</v>
      </c>
      <c r="B38" s="2066"/>
      <c r="C38" s="1103">
        <v>0</v>
      </c>
      <c r="D38" s="1103">
        <f>C38</f>
        <v>0</v>
      </c>
      <c r="E38" s="2037"/>
      <c r="F38" s="2038"/>
      <c r="G38" s="1987"/>
      <c r="H38" s="1987"/>
      <c r="I38" s="1987"/>
    </row>
    <row r="39" spans="1:9" s="788" customFormat="1" ht="25.5" customHeight="1">
      <c r="A39" s="2066" t="s">
        <v>716</v>
      </c>
      <c r="B39" s="2066"/>
      <c r="C39" s="1103">
        <v>0</v>
      </c>
      <c r="D39" s="1103">
        <f>C39</f>
        <v>0</v>
      </c>
      <c r="E39" s="2037"/>
      <c r="F39" s="2038"/>
      <c r="G39" s="1987"/>
      <c r="H39" s="1987"/>
      <c r="I39" s="1987"/>
    </row>
    <row r="40" spans="1:9" s="788" customFormat="1" ht="25.5" customHeight="1">
      <c r="A40" s="2066" t="s">
        <v>717</v>
      </c>
      <c r="B40" s="2066"/>
      <c r="C40" s="790"/>
      <c r="D40" s="790"/>
      <c r="E40" s="2037"/>
      <c r="F40" s="2038"/>
      <c r="G40" s="1987"/>
      <c r="H40" s="1987"/>
      <c r="I40" s="1987"/>
    </row>
    <row r="41" spans="1:9" s="788" customFormat="1" ht="25.5" customHeight="1">
      <c r="A41" s="2066" t="s">
        <v>718</v>
      </c>
      <c r="B41" s="2066"/>
      <c r="C41" s="1103">
        <v>0</v>
      </c>
      <c r="D41" s="1103">
        <f>C41</f>
        <v>0</v>
      </c>
      <c r="E41" s="2037"/>
      <c r="F41" s="2038"/>
      <c r="G41" s="1987"/>
      <c r="H41" s="1987"/>
      <c r="I41" s="1987"/>
    </row>
    <row r="42" spans="1:9" s="788" customFormat="1" ht="26.25" customHeight="1">
      <c r="A42" s="1968" t="s">
        <v>719</v>
      </c>
      <c r="B42" s="1968"/>
      <c r="C42" s="1103">
        <v>0</v>
      </c>
      <c r="D42" s="1103">
        <f>C42</f>
        <v>0</v>
      </c>
      <c r="E42" s="2037"/>
      <c r="F42" s="2038"/>
      <c r="G42" s="1987"/>
      <c r="H42" s="1987"/>
      <c r="I42" s="1987"/>
    </row>
    <row r="43" spans="1:9" s="788" customFormat="1" ht="32.25" customHeight="1">
      <c r="A43" s="2071" t="s">
        <v>720</v>
      </c>
      <c r="B43" s="2071"/>
      <c r="C43" s="990">
        <f>C35+C40+C41+C42</f>
        <v>340497274</v>
      </c>
      <c r="D43" s="990">
        <f>D35+D40+D41+D42</f>
        <v>340497274</v>
      </c>
      <c r="E43" s="2039">
        <f>E35+E40+E41+E42</f>
        <v>98293026.8</v>
      </c>
      <c r="F43" s="2040"/>
      <c r="G43" s="1986">
        <f t="shared" si="2"/>
        <v>0.28867493018460993</v>
      </c>
      <c r="H43" s="1986"/>
      <c r="I43" s="1986"/>
    </row>
    <row r="44" spans="1:8" s="788" customFormat="1" ht="21.75" customHeight="1">
      <c r="A44" s="881"/>
      <c r="B44" s="881"/>
      <c r="C44" s="786"/>
      <c r="D44" s="786"/>
      <c r="E44" s="786"/>
      <c r="F44" s="786"/>
      <c r="G44" s="880"/>
      <c r="H44" s="787"/>
    </row>
    <row r="45" spans="1:8" s="788" customFormat="1" ht="21.75" customHeight="1">
      <c r="A45" s="1129"/>
      <c r="B45" s="1129"/>
      <c r="C45" s="880"/>
      <c r="D45" s="880"/>
      <c r="E45" s="880"/>
      <c r="F45" s="880"/>
      <c r="G45" s="880"/>
      <c r="H45" s="787"/>
    </row>
    <row r="46" spans="1:8" s="788" customFormat="1" ht="21.75" customHeight="1">
      <c r="A46" s="1129"/>
      <c r="B46" s="1129"/>
      <c r="C46" s="880"/>
      <c r="D46" s="880"/>
      <c r="E46" s="880"/>
      <c r="F46" s="880"/>
      <c r="G46" s="880"/>
      <c r="H46" s="787"/>
    </row>
    <row r="47" spans="1:8" s="788" customFormat="1" ht="15.75" customHeight="1">
      <c r="A47" s="882"/>
      <c r="B47" s="882"/>
      <c r="C47" s="880"/>
      <c r="D47" s="880"/>
      <c r="E47" s="880"/>
      <c r="F47" s="880"/>
      <c r="G47" s="880"/>
      <c r="H47" s="787"/>
    </row>
    <row r="48" spans="1:8" s="788" customFormat="1" ht="20.25" customHeight="1">
      <c r="A48" s="882"/>
      <c r="B48" s="882"/>
      <c r="C48" s="893"/>
      <c r="D48" s="893"/>
      <c r="E48" s="893"/>
      <c r="F48" s="886"/>
      <c r="G48" s="889"/>
      <c r="H48" s="894"/>
    </row>
    <row r="49" spans="1:9" s="788" customFormat="1" ht="22.5" customHeight="1">
      <c r="A49" s="1988" t="s">
        <v>808</v>
      </c>
      <c r="B49" s="1988"/>
      <c r="C49" s="1988"/>
      <c r="D49" s="1988"/>
      <c r="E49" s="1988"/>
      <c r="F49" s="1988"/>
      <c r="G49" s="1988"/>
      <c r="H49" s="894"/>
      <c r="I49" s="797"/>
    </row>
    <row r="50" spans="1:9" s="788" customFormat="1" ht="16.5" customHeight="1">
      <c r="A50" s="1988" t="s">
        <v>0</v>
      </c>
      <c r="B50" s="1988"/>
      <c r="C50" s="1988"/>
      <c r="D50" s="1988"/>
      <c r="E50" s="1988"/>
      <c r="F50" s="1988"/>
      <c r="G50" s="1988"/>
      <c r="H50" s="894"/>
      <c r="I50" s="797"/>
    </row>
    <row r="51" spans="1:9" s="788" customFormat="1" ht="15.75" customHeight="1">
      <c r="A51" s="2008" t="s">
        <v>740</v>
      </c>
      <c r="B51" s="2008"/>
      <c r="C51" s="2008"/>
      <c r="D51" s="2008"/>
      <c r="E51" s="2008"/>
      <c r="F51" s="2008"/>
      <c r="G51" s="2009"/>
      <c r="H51" s="894"/>
      <c r="I51" s="797"/>
    </row>
    <row r="52" spans="1:9" s="788" customFormat="1" ht="15.75" customHeight="1">
      <c r="A52" s="1988" t="s">
        <v>2</v>
      </c>
      <c r="B52" s="1988"/>
      <c r="C52" s="1988"/>
      <c r="D52" s="1988"/>
      <c r="E52" s="1988"/>
      <c r="F52" s="1988"/>
      <c r="G52" s="1988"/>
      <c r="H52" s="894"/>
      <c r="I52" s="797"/>
    </row>
    <row r="53" spans="1:9" s="788" customFormat="1" ht="16.5" customHeight="1">
      <c r="A53" s="2012" t="str">
        <f>A5</f>
        <v>Referência: JANEIRO-ABRIL/2015; BIMESTRE: MARÇO-ABRIL/2015</v>
      </c>
      <c r="B53" s="2012"/>
      <c r="C53" s="2012"/>
      <c r="D53" s="2012"/>
      <c r="E53" s="1032" t="str">
        <f>E6</f>
        <v>Publicação: Diário Oficial do Município nº 96</v>
      </c>
      <c r="F53" s="912"/>
      <c r="G53" s="781"/>
      <c r="H53" s="894"/>
      <c r="I53" s="797"/>
    </row>
    <row r="54" spans="1:9" s="788" customFormat="1" ht="15" customHeight="1">
      <c r="A54" s="809"/>
      <c r="B54" s="810"/>
      <c r="C54" s="810"/>
      <c r="D54" s="474"/>
      <c r="E54" s="2042" t="str">
        <f>E7</f>
        <v>Data: 22/05/2015</v>
      </c>
      <c r="F54" s="2042"/>
      <c r="G54" s="1102"/>
      <c r="H54" s="894"/>
      <c r="I54" s="797"/>
    </row>
    <row r="55" spans="1:9" s="788" customFormat="1" ht="15" customHeight="1">
      <c r="A55" s="784" t="s">
        <v>693</v>
      </c>
      <c r="B55" s="810"/>
      <c r="C55" s="810"/>
      <c r="D55" s="474"/>
      <c r="E55" s="812"/>
      <c r="F55" s="812"/>
      <c r="G55" s="813"/>
      <c r="H55" s="813"/>
      <c r="I55" s="813" t="s">
        <v>537</v>
      </c>
    </row>
    <row r="56" spans="1:9" s="788" customFormat="1" ht="14.25" customHeight="1">
      <c r="A56" s="2022" t="s">
        <v>928</v>
      </c>
      <c r="B56" s="2023"/>
      <c r="C56" s="1976" t="s">
        <v>425</v>
      </c>
      <c r="D56" s="1976" t="s">
        <v>725</v>
      </c>
      <c r="E56" s="2074" t="s">
        <v>646</v>
      </c>
      <c r="F56" s="2075"/>
      <c r="G56" s="2002" t="s">
        <v>257</v>
      </c>
      <c r="H56" s="2003"/>
      <c r="I56" s="1976" t="s">
        <v>239</v>
      </c>
    </row>
    <row r="57" spans="1:9" s="788" customFormat="1" ht="23.25" customHeight="1">
      <c r="A57" s="2024"/>
      <c r="B57" s="2025"/>
      <c r="C57" s="1977"/>
      <c r="D57" s="2028"/>
      <c r="E57" s="1976" t="s">
        <v>904</v>
      </c>
      <c r="F57" s="1976" t="s">
        <v>905</v>
      </c>
      <c r="G57" s="1976" t="s">
        <v>906</v>
      </c>
      <c r="H57" s="1976" t="s">
        <v>907</v>
      </c>
      <c r="I57" s="1977"/>
    </row>
    <row r="58" spans="1:9" s="788" customFormat="1" ht="23.25" customHeight="1">
      <c r="A58" s="2026"/>
      <c r="B58" s="2027"/>
      <c r="C58" s="1978"/>
      <c r="D58" s="1098" t="s">
        <v>726</v>
      </c>
      <c r="E58" s="1978"/>
      <c r="F58" s="1978"/>
      <c r="G58" s="1978"/>
      <c r="H58" s="1978"/>
      <c r="I58" s="1977"/>
    </row>
    <row r="59" spans="1:9" s="788" customFormat="1" ht="14.25" customHeight="1">
      <c r="A59" s="2031" t="s">
        <v>70</v>
      </c>
      <c r="B59" s="2032"/>
      <c r="C59" s="794">
        <f>SUM(C60:C62)</f>
        <v>712244513</v>
      </c>
      <c r="D59" s="795">
        <f>SUM(D60:D62)</f>
        <v>712244513</v>
      </c>
      <c r="E59" s="794">
        <f>E60+E61+E62</f>
        <v>601992129.12</v>
      </c>
      <c r="F59" s="1256">
        <f>(E59/D59)*100</f>
        <v>84.52043057297655</v>
      </c>
      <c r="G59" s="795">
        <f>SUM(G60:G62)</f>
        <v>222229573.7</v>
      </c>
      <c r="H59" s="1256">
        <f>(G59/D59)*100</f>
        <v>31.201303715764812</v>
      </c>
      <c r="I59" s="795">
        <f>SUM(I60:I62)</f>
        <v>0</v>
      </c>
    </row>
    <row r="60" spans="1:9" s="788" customFormat="1" ht="14.25" customHeight="1">
      <c r="A60" s="2029" t="s">
        <v>597</v>
      </c>
      <c r="B60" s="2030"/>
      <c r="C60" s="796">
        <v>436109409</v>
      </c>
      <c r="D60" s="796">
        <f>C60</f>
        <v>436109409</v>
      </c>
      <c r="E60" s="796">
        <v>412732305.74</v>
      </c>
      <c r="F60" s="1256">
        <f aca="true" t="shared" si="3" ref="F60:F67">(E60/D60)*100</f>
        <v>94.63962419118548</v>
      </c>
      <c r="G60" s="1106">
        <v>145001581.32</v>
      </c>
      <c r="H60" s="1256">
        <f>(G60/D60)*100</f>
        <v>33.24890000710808</v>
      </c>
      <c r="I60" s="1263"/>
    </row>
    <row r="61" spans="1:9" s="788" customFormat="1" ht="14.25" customHeight="1">
      <c r="A61" s="2029" t="s">
        <v>598</v>
      </c>
      <c r="B61" s="2030"/>
      <c r="C61" s="796"/>
      <c r="D61" s="796"/>
      <c r="E61" s="791"/>
      <c r="F61" s="1256"/>
      <c r="G61" s="1107"/>
      <c r="H61" s="1256">
        <f>(G61/D60)*100</f>
        <v>0</v>
      </c>
      <c r="I61" s="1263"/>
    </row>
    <row r="62" spans="1:9" s="788" customFormat="1" ht="14.25" customHeight="1">
      <c r="A62" s="2029" t="s">
        <v>599</v>
      </c>
      <c r="B62" s="2030"/>
      <c r="C62" s="796">
        <v>276135104</v>
      </c>
      <c r="D62" s="796">
        <f>C62</f>
        <v>276135104</v>
      </c>
      <c r="E62" s="796">
        <v>189259823.38</v>
      </c>
      <c r="F62" s="1256">
        <f t="shared" si="3"/>
        <v>68.53884951186792</v>
      </c>
      <c r="G62" s="1106">
        <v>77227992.38</v>
      </c>
      <c r="H62" s="1256">
        <f aca="true" t="shared" si="4" ref="H62:H67">(G62/D62)*100</f>
        <v>27.96746638196352</v>
      </c>
      <c r="I62" s="1263"/>
    </row>
    <row r="63" spans="1:9" s="788" customFormat="1" ht="14.25" customHeight="1">
      <c r="A63" s="2031" t="s">
        <v>74</v>
      </c>
      <c r="B63" s="2041"/>
      <c r="C63" s="794">
        <f>SUM(C64:C66)</f>
        <v>35443588</v>
      </c>
      <c r="D63" s="1108">
        <f>SUM(D64:D66)</f>
        <v>35443588</v>
      </c>
      <c r="E63" s="794">
        <f>SUM(E64:E66)</f>
        <v>2674976.04</v>
      </c>
      <c r="F63" s="1256">
        <f t="shared" si="3"/>
        <v>7.5471367063627985</v>
      </c>
      <c r="G63" s="1108">
        <f>SUM(G64:G66)</f>
        <v>713092.18</v>
      </c>
      <c r="H63" s="1303">
        <f t="shared" si="4"/>
        <v>2.0119074287851446</v>
      </c>
      <c r="I63" s="794">
        <f>SUM(I64:I66)</f>
        <v>0</v>
      </c>
    </row>
    <row r="64" spans="1:9" s="789" customFormat="1" ht="18" customHeight="1">
      <c r="A64" s="2029" t="s">
        <v>600</v>
      </c>
      <c r="B64" s="2030"/>
      <c r="C64" s="796">
        <v>35443588</v>
      </c>
      <c r="D64" s="796">
        <f>C64</f>
        <v>35443588</v>
      </c>
      <c r="E64" s="796">
        <v>2674976.04</v>
      </c>
      <c r="F64" s="1256">
        <f t="shared" si="3"/>
        <v>7.5471367063627985</v>
      </c>
      <c r="G64" s="1106">
        <v>713092.18</v>
      </c>
      <c r="H64" s="1256">
        <f t="shared" si="4"/>
        <v>2.0119074287851446</v>
      </c>
      <c r="I64" s="1264"/>
    </row>
    <row r="65" spans="1:9" s="788" customFormat="1" ht="21.75" customHeight="1">
      <c r="A65" s="2029" t="s">
        <v>601</v>
      </c>
      <c r="B65" s="2030"/>
      <c r="C65" s="796"/>
      <c r="D65" s="796"/>
      <c r="E65" s="796"/>
      <c r="F65" s="1256"/>
      <c r="G65" s="1106"/>
      <c r="H65" s="1256"/>
      <c r="I65" s="1265"/>
    </row>
    <row r="66" spans="1:9" s="788" customFormat="1" ht="21" customHeight="1">
      <c r="A66" s="2029" t="s">
        <v>602</v>
      </c>
      <c r="B66" s="2030"/>
      <c r="C66" s="796"/>
      <c r="D66" s="796"/>
      <c r="E66" s="796"/>
      <c r="F66" s="1256"/>
      <c r="G66" s="1106"/>
      <c r="H66" s="1256"/>
      <c r="I66" s="1265"/>
    </row>
    <row r="67" spans="1:9" s="788" customFormat="1" ht="23.25" customHeight="1">
      <c r="A67" s="798" t="s">
        <v>690</v>
      </c>
      <c r="B67" s="792"/>
      <c r="C67" s="794">
        <f>SUM(C59+C63)</f>
        <v>747688101</v>
      </c>
      <c r="D67" s="1108">
        <f>SUM(D59+D63)</f>
        <v>747688101</v>
      </c>
      <c r="E67" s="794">
        <f>SUM(E59+E63)</f>
        <v>604667105.16</v>
      </c>
      <c r="F67" s="1305">
        <f t="shared" si="3"/>
        <v>80.87156989007639</v>
      </c>
      <c r="G67" s="1108">
        <f>SUM(G59+G63)</f>
        <v>222942665.88</v>
      </c>
      <c r="H67" s="1304">
        <f t="shared" si="4"/>
        <v>29.817602497862943</v>
      </c>
      <c r="I67" s="794">
        <f>SUM(I59+I63)</f>
        <v>0</v>
      </c>
    </row>
    <row r="68" spans="1:9" s="789" customFormat="1" ht="18" customHeight="1">
      <c r="A68" s="800"/>
      <c r="B68" s="793"/>
      <c r="C68" s="801"/>
      <c r="D68" s="802"/>
      <c r="E68" s="803"/>
      <c r="F68" s="803"/>
      <c r="G68" s="802"/>
      <c r="H68" s="787"/>
      <c r="I68" s="799"/>
    </row>
    <row r="69" spans="1:10" s="788" customFormat="1" ht="18.75" customHeight="1">
      <c r="A69" s="2073" t="s">
        <v>844</v>
      </c>
      <c r="B69" s="2023"/>
      <c r="C69" s="991" t="s">
        <v>256</v>
      </c>
      <c r="D69" s="991" t="s">
        <v>256</v>
      </c>
      <c r="E69" s="2074" t="s">
        <v>646</v>
      </c>
      <c r="F69" s="2075"/>
      <c r="G69" s="2002" t="s">
        <v>257</v>
      </c>
      <c r="H69" s="2003"/>
      <c r="I69" s="1976" t="s">
        <v>239</v>
      </c>
      <c r="J69" s="1130"/>
    </row>
    <row r="70" spans="1:9" s="788" customFormat="1" ht="24.75" customHeight="1">
      <c r="A70" s="2028"/>
      <c r="B70" s="2025"/>
      <c r="C70" s="992" t="s">
        <v>258</v>
      </c>
      <c r="D70" s="992" t="s">
        <v>259</v>
      </c>
      <c r="E70" s="1976" t="s">
        <v>908</v>
      </c>
      <c r="F70" s="1976" t="s">
        <v>909</v>
      </c>
      <c r="G70" s="1976" t="s">
        <v>910</v>
      </c>
      <c r="H70" s="1976" t="s">
        <v>911</v>
      </c>
      <c r="I70" s="1977"/>
    </row>
    <row r="71" spans="1:9" s="788" customFormat="1" ht="21" customHeight="1">
      <c r="A71" s="2047"/>
      <c r="B71" s="2027"/>
      <c r="C71" s="994"/>
      <c r="D71" s="994"/>
      <c r="E71" s="1978"/>
      <c r="F71" s="1978"/>
      <c r="G71" s="1978"/>
      <c r="H71" s="1978"/>
      <c r="I71" s="1978"/>
    </row>
    <row r="72" spans="1:9" s="788" customFormat="1" ht="18" customHeight="1">
      <c r="A72" s="1995" t="s">
        <v>727</v>
      </c>
      <c r="B72" s="2072"/>
      <c r="C72" s="805"/>
      <c r="D72" s="805"/>
      <c r="E72" s="1258"/>
      <c r="F72" s="1261">
        <f>(E72/E67)*100</f>
        <v>0</v>
      </c>
      <c r="G72" s="879"/>
      <c r="H72" s="1260">
        <f>(G72/G67)*100</f>
        <v>0</v>
      </c>
      <c r="I72" s="1257"/>
    </row>
    <row r="73" spans="1:9" s="788" customFormat="1" ht="21.75" customHeight="1">
      <c r="A73" s="1995" t="s">
        <v>728</v>
      </c>
      <c r="B73" s="2072"/>
      <c r="C73" s="805"/>
      <c r="D73" s="805"/>
      <c r="E73" s="796"/>
      <c r="F73" s="1261">
        <f>(E73/E67)*100</f>
        <v>0</v>
      </c>
      <c r="G73" s="879"/>
      <c r="H73" s="1260">
        <f>(G73/G67)*100</f>
        <v>0</v>
      </c>
      <c r="I73" s="1257"/>
    </row>
    <row r="74" spans="1:9" s="788" customFormat="1" ht="26.25" customHeight="1">
      <c r="A74" s="2033" t="s">
        <v>729</v>
      </c>
      <c r="B74" s="2034"/>
      <c r="C74" s="1109">
        <f>C75+C76+C77</f>
        <v>337291066</v>
      </c>
      <c r="D74" s="1109">
        <f>D75+D76+D77</f>
        <v>337291066</v>
      </c>
      <c r="E74" s="794">
        <f>E75+E76+E77</f>
        <v>242591025.54</v>
      </c>
      <c r="F74" s="1300">
        <f>(E74/E67)*100</f>
        <v>40.119765647878</v>
      </c>
      <c r="G74" s="1109">
        <f>G75+G76+G77</f>
        <v>94110766.09</v>
      </c>
      <c r="H74" s="1299">
        <f>(G74/G67)*100</f>
        <v>42.21299037513779</v>
      </c>
      <c r="I74" s="1262">
        <f>I75+I76+I77</f>
        <v>0</v>
      </c>
    </row>
    <row r="75" spans="1:9" s="788" customFormat="1" ht="21.75" customHeight="1">
      <c r="A75" s="1995" t="s">
        <v>730</v>
      </c>
      <c r="B75" s="1996"/>
      <c r="C75" s="1110">
        <v>337291066</v>
      </c>
      <c r="D75" s="1110">
        <f>C75</f>
        <v>337291066</v>
      </c>
      <c r="E75" s="1105">
        <v>242591025.54</v>
      </c>
      <c r="F75" s="1261">
        <f>(E75/E67)*100</f>
        <v>40.119765647878</v>
      </c>
      <c r="G75" s="1111">
        <v>94110766.09</v>
      </c>
      <c r="H75" s="1298">
        <f>G75/G67*100</f>
        <v>42.21299037513779</v>
      </c>
      <c r="I75" s="1257"/>
    </row>
    <row r="76" spans="1:9" s="788" customFormat="1" ht="22.5" customHeight="1">
      <c r="A76" s="1995" t="s">
        <v>731</v>
      </c>
      <c r="B76" s="1996"/>
      <c r="C76" s="1112"/>
      <c r="D76" s="1112">
        <f>C76</f>
        <v>0</v>
      </c>
      <c r="E76" s="1259"/>
      <c r="F76" s="1261">
        <f>(E76/E67)*100</f>
        <v>0</v>
      </c>
      <c r="G76" s="911"/>
      <c r="H76" s="1260">
        <f>(G76/G67)*100</f>
        <v>0</v>
      </c>
      <c r="I76" s="1257"/>
    </row>
    <row r="77" spans="1:9" s="788" customFormat="1" ht="21.75" customHeight="1">
      <c r="A77" s="1995" t="s">
        <v>732</v>
      </c>
      <c r="B77" s="1996"/>
      <c r="C77" s="1110"/>
      <c r="D77" s="1110"/>
      <c r="E77" s="1105"/>
      <c r="F77" s="1261">
        <f>(E77/E67)*100</f>
        <v>0</v>
      </c>
      <c r="G77" s="1113"/>
      <c r="H77" s="1260">
        <f>(G77/G67)*100</f>
        <v>0</v>
      </c>
      <c r="I77" s="1257"/>
    </row>
    <row r="78" spans="1:9" s="788" customFormat="1" ht="22.5" customHeight="1">
      <c r="A78" s="1995" t="s">
        <v>733</v>
      </c>
      <c r="B78" s="1996"/>
      <c r="C78" s="1110">
        <v>5306208</v>
      </c>
      <c r="D78" s="1110">
        <f>C78</f>
        <v>5306208</v>
      </c>
      <c r="E78" s="1259">
        <v>2587071.28</v>
      </c>
      <c r="F78" s="1261">
        <f>(E78/E67)*100</f>
        <v>0.42785050781213557</v>
      </c>
      <c r="G78" s="1111">
        <v>555468.3</v>
      </c>
      <c r="H78" s="1260">
        <f>(G78/G67)*100</f>
        <v>0.24915298191463434</v>
      </c>
      <c r="I78" s="1257"/>
    </row>
    <row r="79" spans="1:9" s="788" customFormat="1" ht="24" customHeight="1">
      <c r="A79" s="1995" t="s">
        <v>734</v>
      </c>
      <c r="B79" s="1996"/>
      <c r="C79" s="1110"/>
      <c r="D79" s="1110"/>
      <c r="E79" s="1259"/>
      <c r="F79" s="1261">
        <f>(E79/E67)*100</f>
        <v>0</v>
      </c>
      <c r="G79" s="911"/>
      <c r="H79" s="1260">
        <f>(G79/G67)*100</f>
        <v>0</v>
      </c>
      <c r="I79" s="1257"/>
    </row>
    <row r="80" spans="1:9" s="788" customFormat="1" ht="29.25" customHeight="1">
      <c r="A80" s="1995" t="s">
        <v>735</v>
      </c>
      <c r="B80" s="1996"/>
      <c r="C80" s="1110"/>
      <c r="D80" s="1110"/>
      <c r="E80" s="1105">
        <v>2117559.24</v>
      </c>
      <c r="F80" s="1261">
        <f>(E80/E67)*100</f>
        <v>0.35020248694356815</v>
      </c>
      <c r="G80" s="911">
        <v>2117559.24</v>
      </c>
      <c r="H80" s="1260">
        <f>(G80/G67)*100</f>
        <v>0.9498223373446998</v>
      </c>
      <c r="I80" s="1257"/>
    </row>
    <row r="81" spans="1:9" s="788" customFormat="1" ht="37.5" customHeight="1">
      <c r="A81" s="1995" t="s">
        <v>736</v>
      </c>
      <c r="B81" s="1996"/>
      <c r="C81" s="1110"/>
      <c r="D81" s="1110"/>
      <c r="E81" s="796"/>
      <c r="F81" s="1261">
        <f>(E81/E67)*100</f>
        <v>0</v>
      </c>
      <c r="G81" s="911"/>
      <c r="H81" s="1260">
        <f>(G81/G67)*100</f>
        <v>0</v>
      </c>
      <c r="I81" s="1257"/>
    </row>
    <row r="82" spans="1:9" s="788" customFormat="1" ht="38.25" customHeight="1">
      <c r="A82" s="2033" t="s">
        <v>737</v>
      </c>
      <c r="B82" s="2034"/>
      <c r="C82" s="1114">
        <f>C72+C73+C74+C78+C79+C80+C81</f>
        <v>342597274</v>
      </c>
      <c r="D82" s="1114">
        <f>D72+D73+D74+D78+D79+D80+D81</f>
        <v>342597274</v>
      </c>
      <c r="E82" s="794">
        <f>E72+E73+E74+E78+E79+E80+E81</f>
        <v>247295656.06</v>
      </c>
      <c r="F82" s="1300">
        <f>(E82/E67)*100</f>
        <v>40.8978186426337</v>
      </c>
      <c r="G82" s="794">
        <f>G72+G73+G74+G78+G79+G80+G81</f>
        <v>96783793.63</v>
      </c>
      <c r="H82" s="1300">
        <f>(G82/G67)*100</f>
        <v>43.41196569439712</v>
      </c>
      <c r="I82" s="794">
        <f>I72+I73+I74+I78+I79+I80+I81</f>
        <v>0</v>
      </c>
    </row>
    <row r="83" spans="1:9" s="788" customFormat="1" ht="27" customHeight="1">
      <c r="A83" s="892"/>
      <c r="B83" s="891"/>
      <c r="C83" s="880"/>
      <c r="D83" s="880"/>
      <c r="E83" s="890"/>
      <c r="F83" s="1115"/>
      <c r="G83" s="890"/>
      <c r="H83" s="1116"/>
      <c r="I83" s="804"/>
    </row>
    <row r="84" spans="1:9" s="788" customFormat="1" ht="24" customHeight="1">
      <c r="A84" s="1994" t="s">
        <v>738</v>
      </c>
      <c r="B84" s="1994"/>
      <c r="C84" s="941">
        <f>C67-C82</f>
        <v>405090827</v>
      </c>
      <c r="D84" s="941">
        <f>D67-D82</f>
        <v>405090827</v>
      </c>
      <c r="E84" s="941">
        <f>E67-E82</f>
        <v>357371449.09999996</v>
      </c>
      <c r="F84" s="1300">
        <f>(E84/E67)*100</f>
        <v>59.1021813573663</v>
      </c>
      <c r="G84" s="941">
        <f>G67-G82</f>
        <v>126158872.25</v>
      </c>
      <c r="H84" s="1300">
        <f>(G84/G67)*100</f>
        <v>56.588034305602875</v>
      </c>
      <c r="I84" s="941">
        <f>I67-I82</f>
        <v>0</v>
      </c>
    </row>
    <row r="85" spans="1:9" s="788" customFormat="1" ht="21" customHeight="1" thickBot="1">
      <c r="A85" s="891"/>
      <c r="B85" s="891"/>
      <c r="C85" s="880"/>
      <c r="D85" s="880"/>
      <c r="E85" s="890"/>
      <c r="F85" s="1116"/>
      <c r="G85" s="890"/>
      <c r="H85" s="1115"/>
      <c r="I85" s="804"/>
    </row>
    <row r="86" spans="1:9" s="788" customFormat="1" ht="39.75" customHeight="1">
      <c r="A86" s="1989" t="s">
        <v>739</v>
      </c>
      <c r="B86" s="1990"/>
      <c r="C86" s="1990"/>
      <c r="D86" s="1990"/>
      <c r="E86" s="1990"/>
      <c r="F86" s="1990"/>
      <c r="G86" s="1990"/>
      <c r="H86" s="2015">
        <f>G84/E30*100</f>
        <v>24.943381318602036</v>
      </c>
      <c r="I86" s="2016"/>
    </row>
    <row r="87" spans="1:9" s="788" customFormat="1" ht="23.25" customHeight="1">
      <c r="A87" s="1991"/>
      <c r="B87" s="1991"/>
      <c r="C87" s="1117"/>
      <c r="D87" s="1117"/>
      <c r="E87" s="1117"/>
      <c r="F87" s="1118"/>
      <c r="G87" s="1118"/>
      <c r="H87" s="1119"/>
      <c r="I87" s="804"/>
    </row>
    <row r="88" spans="1:12" s="789" customFormat="1" ht="23.25" customHeight="1">
      <c r="A88" s="1997" t="s">
        <v>919</v>
      </c>
      <c r="B88" s="1998"/>
      <c r="C88" s="1998"/>
      <c r="D88" s="1998"/>
      <c r="E88" s="1998"/>
      <c r="F88" s="1998"/>
      <c r="G88" s="1999"/>
      <c r="H88" s="2017">
        <f>G84-(15*E30)/100</f>
        <v>50291728.99549998</v>
      </c>
      <c r="I88" s="2018"/>
      <c r="J88" s="1306"/>
      <c r="K88" s="806"/>
      <c r="L88" s="806"/>
    </row>
    <row r="89" spans="1:12" s="789" customFormat="1" ht="38.25" customHeight="1">
      <c r="A89" s="895"/>
      <c r="B89" s="814"/>
      <c r="C89" s="814"/>
      <c r="D89" s="814"/>
      <c r="E89" s="814"/>
      <c r="F89" s="814"/>
      <c r="G89" s="814"/>
      <c r="H89" s="474"/>
      <c r="I89" s="799"/>
      <c r="K89" s="806"/>
      <c r="L89" s="806"/>
    </row>
    <row r="90" spans="1:9" ht="33.75" customHeight="1">
      <c r="A90" s="2000" t="s">
        <v>741</v>
      </c>
      <c r="B90" s="2001"/>
      <c r="C90" s="1099" t="s">
        <v>742</v>
      </c>
      <c r="D90" s="1274" t="s">
        <v>929</v>
      </c>
      <c r="E90" s="2002" t="s">
        <v>743</v>
      </c>
      <c r="F90" s="2003"/>
      <c r="G90" s="995" t="s">
        <v>744</v>
      </c>
      <c r="H90" s="2019" t="s">
        <v>745</v>
      </c>
      <c r="I90" s="2020"/>
    </row>
    <row r="91" spans="1:9" s="896" customFormat="1" ht="33" customHeight="1">
      <c r="A91" s="1969" t="s">
        <v>842</v>
      </c>
      <c r="B91" s="1969"/>
      <c r="C91" s="906">
        <v>48085545.74</v>
      </c>
      <c r="D91" s="906">
        <v>2117559.24</v>
      </c>
      <c r="E91" s="2010">
        <v>22573908.8</v>
      </c>
      <c r="F91" s="2011"/>
      <c r="G91" s="906">
        <f>C91-D91-E91</f>
        <v>23394077.7</v>
      </c>
      <c r="H91" s="2021"/>
      <c r="I91" s="2021"/>
    </row>
    <row r="92" spans="1:9" ht="23.25" customHeight="1">
      <c r="A92" s="1969" t="s">
        <v>810</v>
      </c>
      <c r="B92" s="1969"/>
      <c r="C92" s="906"/>
      <c r="D92" s="906"/>
      <c r="E92" s="2010"/>
      <c r="F92" s="2011"/>
      <c r="G92" s="906"/>
      <c r="H92" s="1992"/>
      <c r="I92" s="1992"/>
    </row>
    <row r="93" spans="1:9" ht="24.75" customHeight="1">
      <c r="A93" s="1969" t="s">
        <v>753</v>
      </c>
      <c r="B93" s="1969"/>
      <c r="C93" s="906"/>
      <c r="D93" s="906"/>
      <c r="E93" s="2010"/>
      <c r="F93" s="2011"/>
      <c r="G93" s="906"/>
      <c r="H93" s="1992"/>
      <c r="I93" s="1992"/>
    </row>
    <row r="94" spans="1:9" ht="22.5" customHeight="1">
      <c r="A94" s="1969" t="s">
        <v>746</v>
      </c>
      <c r="B94" s="1969"/>
      <c r="C94" s="906"/>
      <c r="D94" s="906"/>
      <c r="E94" s="2010"/>
      <c r="F94" s="2011"/>
      <c r="G94" s="906"/>
      <c r="H94" s="1992"/>
      <c r="I94" s="1992"/>
    </row>
    <row r="95" spans="1:9" ht="22.5" customHeight="1">
      <c r="A95" s="1969" t="s">
        <v>752</v>
      </c>
      <c r="B95" s="1969"/>
      <c r="C95" s="906"/>
      <c r="D95" s="906"/>
      <c r="E95" s="2010"/>
      <c r="F95" s="2011"/>
      <c r="G95" s="906"/>
      <c r="H95" s="1992"/>
      <c r="I95" s="1992"/>
    </row>
    <row r="96" spans="1:9" ht="22.5" customHeight="1">
      <c r="A96" s="2035" t="s">
        <v>397</v>
      </c>
      <c r="B96" s="2036"/>
      <c r="C96" s="906">
        <f>SUM(C91:C95)</f>
        <v>48085545.74</v>
      </c>
      <c r="D96" s="906">
        <f>SUM(D91:D95)</f>
        <v>2117559.24</v>
      </c>
      <c r="E96" s="2010">
        <f>SUM(E91:E95)</f>
        <v>22573908.8</v>
      </c>
      <c r="F96" s="2011"/>
      <c r="G96" s="906">
        <f>SUM(G91:G95)</f>
        <v>23394077.7</v>
      </c>
      <c r="H96" s="1992"/>
      <c r="I96" s="1992"/>
    </row>
    <row r="97" spans="1:9" ht="21" customHeight="1">
      <c r="A97" s="895"/>
      <c r="B97" s="814"/>
      <c r="C97" s="814"/>
      <c r="D97" s="814"/>
      <c r="E97" s="814"/>
      <c r="F97" s="814"/>
      <c r="G97" s="814"/>
      <c r="H97" s="474"/>
      <c r="I97" s="807"/>
    </row>
    <row r="98" spans="1:9" ht="18" customHeight="1">
      <c r="A98" s="895"/>
      <c r="B98" s="814"/>
      <c r="C98" s="814"/>
      <c r="D98" s="814"/>
      <c r="E98" s="814"/>
      <c r="F98" s="814"/>
      <c r="G98" s="814"/>
      <c r="H98" s="474"/>
      <c r="I98" s="807"/>
    </row>
    <row r="99" spans="1:9" ht="18" customHeight="1">
      <c r="A99" s="1988" t="s">
        <v>313</v>
      </c>
      <c r="B99" s="1988"/>
      <c r="C99" s="1988"/>
      <c r="D99" s="1988"/>
      <c r="E99" s="1988"/>
      <c r="F99" s="1988"/>
      <c r="G99" s="1988"/>
      <c r="H99" s="474"/>
      <c r="I99" s="807"/>
    </row>
    <row r="100" spans="1:9" ht="12.75">
      <c r="A100" s="1988" t="s">
        <v>0</v>
      </c>
      <c r="B100" s="1988"/>
      <c r="C100" s="1988"/>
      <c r="D100" s="1988"/>
      <c r="E100" s="1988"/>
      <c r="F100" s="1988"/>
      <c r="G100" s="1988"/>
      <c r="H100" s="474"/>
      <c r="I100" s="807"/>
    </row>
    <row r="101" spans="1:9" ht="12.75">
      <c r="A101" s="2008" t="s">
        <v>740</v>
      </c>
      <c r="B101" s="2008"/>
      <c r="C101" s="2008"/>
      <c r="D101" s="2008"/>
      <c r="E101" s="2008"/>
      <c r="F101" s="2008"/>
      <c r="G101" s="2009"/>
      <c r="H101" s="474"/>
      <c r="I101" s="807"/>
    </row>
    <row r="102" spans="1:9" ht="12.75">
      <c r="A102" s="1988" t="s">
        <v>2</v>
      </c>
      <c r="B102" s="1988"/>
      <c r="C102" s="1988"/>
      <c r="D102" s="1988"/>
      <c r="E102" s="1988"/>
      <c r="F102" s="1988"/>
      <c r="G102" s="1988"/>
      <c r="H102" s="474"/>
      <c r="I102" s="122"/>
    </row>
    <row r="103" spans="1:9" ht="12.75">
      <c r="A103" s="2012" t="str">
        <f>A5</f>
        <v>Referência: JANEIRO-ABRIL/2015; BIMESTRE: MARÇO-ABRIL/2015</v>
      </c>
      <c r="B103" s="2012"/>
      <c r="C103" s="2012"/>
      <c r="D103" s="2012"/>
      <c r="E103" s="1120"/>
      <c r="F103" s="912"/>
      <c r="G103" s="781"/>
      <c r="H103" s="474"/>
      <c r="I103" s="122"/>
    </row>
    <row r="104" spans="1:8" ht="12.75">
      <c r="A104" s="808"/>
      <c r="B104" s="808"/>
      <c r="C104" s="808"/>
      <c r="D104" s="808"/>
      <c r="E104" s="1121" t="str">
        <f>E53</f>
        <v>Publicação: Diário Oficial do Município nº 96</v>
      </c>
      <c r="F104" s="1122"/>
      <c r="G104" s="781"/>
      <c r="H104" s="474"/>
    </row>
    <row r="105" spans="1:8" ht="12.75">
      <c r="A105" s="808"/>
      <c r="B105" s="808"/>
      <c r="C105" s="808"/>
      <c r="D105" s="808"/>
      <c r="E105" s="1123" t="str">
        <f>E54</f>
        <v>Data: 22/05/2015</v>
      </c>
      <c r="F105" s="811"/>
      <c r="G105" s="781"/>
      <c r="H105" s="474"/>
    </row>
    <row r="106" spans="1:9" ht="12.75">
      <c r="A106" s="784" t="s">
        <v>693</v>
      </c>
      <c r="B106" s="810"/>
      <c r="C106" s="810"/>
      <c r="D106" s="474"/>
      <c r="E106" s="811"/>
      <c r="F106" s="811"/>
      <c r="G106" s="1102"/>
      <c r="H106" s="813"/>
      <c r="I106" s="813" t="s">
        <v>538</v>
      </c>
    </row>
    <row r="107" spans="1:9" ht="21.75" customHeight="1">
      <c r="A107" s="2013" t="s">
        <v>930</v>
      </c>
      <c r="B107" s="2013"/>
      <c r="C107" s="2004" t="s">
        <v>912</v>
      </c>
      <c r="D107" s="2005"/>
      <c r="E107" s="2005"/>
      <c r="F107" s="2005"/>
      <c r="G107" s="2005"/>
      <c r="H107" s="2005"/>
      <c r="I107" s="2006"/>
    </row>
    <row r="108" spans="1:9" ht="39.75" customHeight="1">
      <c r="A108" s="2013"/>
      <c r="B108" s="2013"/>
      <c r="C108" s="2014" t="s">
        <v>747</v>
      </c>
      <c r="D108" s="2014"/>
      <c r="E108" s="1980" t="s">
        <v>748</v>
      </c>
      <c r="F108" s="1980"/>
      <c r="G108" s="2007" t="s">
        <v>749</v>
      </c>
      <c r="H108" s="2007"/>
      <c r="I108" s="2007"/>
    </row>
    <row r="109" spans="1:9" ht="34.5" customHeight="1">
      <c r="A109" s="1969" t="s">
        <v>752</v>
      </c>
      <c r="B109" s="1969"/>
      <c r="C109" s="2044"/>
      <c r="D109" s="2044"/>
      <c r="E109" s="1979"/>
      <c r="F109" s="1979"/>
      <c r="G109" s="1993">
        <f>C109-E109</f>
        <v>0</v>
      </c>
      <c r="H109" s="1993"/>
      <c r="I109" s="1993"/>
    </row>
    <row r="110" spans="1:9" ht="17.25" customHeight="1">
      <c r="A110" s="1969" t="s">
        <v>746</v>
      </c>
      <c r="B110" s="1969"/>
      <c r="C110" s="2044"/>
      <c r="D110" s="2044"/>
      <c r="E110" s="1979"/>
      <c r="F110" s="1979"/>
      <c r="G110" s="1993">
        <f>C110-E110</f>
        <v>0</v>
      </c>
      <c r="H110" s="1993"/>
      <c r="I110" s="1993"/>
    </row>
    <row r="111" spans="1:9" ht="15.75" customHeight="1">
      <c r="A111" s="1969" t="s">
        <v>753</v>
      </c>
      <c r="B111" s="1969"/>
      <c r="C111" s="1982"/>
      <c r="D111" s="1983"/>
      <c r="E111" s="1984"/>
      <c r="F111" s="1985"/>
      <c r="G111" s="1993"/>
      <c r="H111" s="1993"/>
      <c r="I111" s="1993"/>
    </row>
    <row r="112" spans="1:9" ht="17.25" customHeight="1">
      <c r="A112" s="1969" t="s">
        <v>810</v>
      </c>
      <c r="B112" s="1969"/>
      <c r="C112" s="1982"/>
      <c r="D112" s="1983"/>
      <c r="E112" s="1984"/>
      <c r="F112" s="1985"/>
      <c r="G112" s="1993"/>
      <c r="H112" s="1993"/>
      <c r="I112" s="1993"/>
    </row>
    <row r="113" spans="1:9" ht="16.5" customHeight="1">
      <c r="A113" s="1969" t="s">
        <v>842</v>
      </c>
      <c r="B113" s="1969"/>
      <c r="C113" s="2044"/>
      <c r="D113" s="2044"/>
      <c r="E113" s="1979"/>
      <c r="F113" s="1979"/>
      <c r="G113" s="1993">
        <f>C113-E113</f>
        <v>0</v>
      </c>
      <c r="H113" s="1993"/>
      <c r="I113" s="1993"/>
    </row>
    <row r="114" spans="1:9" ht="17.25" customHeight="1">
      <c r="A114" s="2043" t="s">
        <v>750</v>
      </c>
      <c r="B114" s="2043"/>
      <c r="C114" s="2077">
        <f>SUM(C109:C113)</f>
        <v>0</v>
      </c>
      <c r="D114" s="2078"/>
      <c r="E114" s="2077">
        <f>SUM(E109:E113)</f>
        <v>0</v>
      </c>
      <c r="F114" s="2078"/>
      <c r="G114" s="2051">
        <f>SUM(G109:G113)</f>
        <v>0</v>
      </c>
      <c r="H114" s="2051"/>
      <c r="I114" s="2051"/>
    </row>
    <row r="115" spans="1:8" ht="18" customHeight="1">
      <c r="A115" s="809"/>
      <c r="B115" s="810"/>
      <c r="C115" s="810"/>
      <c r="D115" s="474"/>
      <c r="E115" s="811"/>
      <c r="F115" s="811"/>
      <c r="G115" s="1102"/>
      <c r="H115" s="474"/>
    </row>
    <row r="116" spans="1:9" ht="18" customHeight="1">
      <c r="A116" s="2083" t="s">
        <v>931</v>
      </c>
      <c r="B116" s="2083"/>
      <c r="C116" s="2074" t="s">
        <v>914</v>
      </c>
      <c r="D116" s="2086"/>
      <c r="E116" s="2086"/>
      <c r="F116" s="2086"/>
      <c r="G116" s="2086"/>
      <c r="H116" s="2086"/>
      <c r="I116" s="2075"/>
    </row>
    <row r="117" spans="1:9" ht="34.5" customHeight="1">
      <c r="A117" s="2083"/>
      <c r="B117" s="2083"/>
      <c r="C117" s="2084" t="s">
        <v>747</v>
      </c>
      <c r="D117" s="2084"/>
      <c r="E117" s="1981" t="s">
        <v>751</v>
      </c>
      <c r="F117" s="1981"/>
      <c r="G117" s="2085" t="s">
        <v>749</v>
      </c>
      <c r="H117" s="2085"/>
      <c r="I117" s="2085"/>
    </row>
    <row r="118" spans="1:9" ht="36" customHeight="1">
      <c r="A118" s="1969" t="s">
        <v>752</v>
      </c>
      <c r="B118" s="1969"/>
      <c r="C118" s="2044"/>
      <c r="D118" s="2044"/>
      <c r="E118" s="1979"/>
      <c r="F118" s="1979"/>
      <c r="G118" s="1993">
        <f>C118-E118</f>
        <v>0</v>
      </c>
      <c r="H118" s="1993"/>
      <c r="I118" s="1993"/>
    </row>
    <row r="119" spans="1:9" ht="18.75" customHeight="1">
      <c r="A119" s="1969" t="s">
        <v>746</v>
      </c>
      <c r="B119" s="1969"/>
      <c r="C119" s="2044"/>
      <c r="D119" s="2044"/>
      <c r="E119" s="1979"/>
      <c r="F119" s="1979"/>
      <c r="G119" s="1993">
        <f>C119-E119</f>
        <v>0</v>
      </c>
      <c r="H119" s="1993"/>
      <c r="I119" s="1993"/>
    </row>
    <row r="120" spans="1:9" ht="18.75" customHeight="1">
      <c r="A120" s="1969" t="s">
        <v>753</v>
      </c>
      <c r="B120" s="1969"/>
      <c r="C120" s="1982"/>
      <c r="D120" s="1983"/>
      <c r="E120" s="1984"/>
      <c r="F120" s="1985"/>
      <c r="G120" s="1993">
        <f>C120-E120</f>
        <v>0</v>
      </c>
      <c r="H120" s="1993"/>
      <c r="I120" s="1993"/>
    </row>
    <row r="121" spans="1:9" ht="18" customHeight="1">
      <c r="A121" s="1969" t="s">
        <v>810</v>
      </c>
      <c r="B121" s="1969"/>
      <c r="C121" s="1982"/>
      <c r="D121" s="1983"/>
      <c r="E121" s="1984"/>
      <c r="F121" s="1985"/>
      <c r="G121" s="1993">
        <f>C121-E121</f>
        <v>0</v>
      </c>
      <c r="H121" s="1993"/>
      <c r="I121" s="1993"/>
    </row>
    <row r="122" spans="1:9" ht="18" customHeight="1">
      <c r="A122" s="1969" t="s">
        <v>842</v>
      </c>
      <c r="B122" s="1969"/>
      <c r="C122" s="2044"/>
      <c r="D122" s="2044"/>
      <c r="E122" s="1979"/>
      <c r="F122" s="1979"/>
      <c r="G122" s="1993">
        <f>C122-E122</f>
        <v>0</v>
      </c>
      <c r="H122" s="1993"/>
      <c r="I122" s="1993"/>
    </row>
    <row r="123" spans="1:9" ht="18" customHeight="1">
      <c r="A123" s="2043" t="s">
        <v>754</v>
      </c>
      <c r="B123" s="2043"/>
      <c r="C123" s="2077">
        <f>SUM(C118:C122)</f>
        <v>0</v>
      </c>
      <c r="D123" s="2078"/>
      <c r="E123" s="2077">
        <f>SUM(E118:E122)</f>
        <v>0</v>
      </c>
      <c r="F123" s="2078"/>
      <c r="G123" s="2051">
        <f>SUM(G118:G122)</f>
        <v>0</v>
      </c>
      <c r="H123" s="2051"/>
      <c r="I123" s="2051"/>
    </row>
    <row r="124" spans="1:8" ht="19.5" customHeight="1">
      <c r="A124" s="809"/>
      <c r="B124" s="810"/>
      <c r="C124" s="810"/>
      <c r="D124" s="474"/>
      <c r="E124" s="811"/>
      <c r="F124" s="811"/>
      <c r="G124" s="1102"/>
      <c r="H124" s="474"/>
    </row>
    <row r="125" spans="1:8" ht="12.75">
      <c r="A125" s="809"/>
      <c r="B125" s="810"/>
      <c r="C125" s="810"/>
      <c r="D125" s="474"/>
      <c r="E125" s="811"/>
      <c r="F125" s="811"/>
      <c r="G125" s="1102"/>
      <c r="H125" s="474"/>
    </row>
    <row r="126" spans="1:8" ht="12.75">
      <c r="A126" s="1102"/>
      <c r="B126" s="1102"/>
      <c r="C126" s="1102"/>
      <c r="D126" s="1102"/>
      <c r="E126" s="1102"/>
      <c r="F126" s="1102"/>
      <c r="G126" s="1102"/>
      <c r="H126" s="474"/>
    </row>
    <row r="127" spans="1:9" ht="12.75">
      <c r="A127" s="1970" t="s">
        <v>755</v>
      </c>
      <c r="B127" s="1971"/>
      <c r="C127" s="1976" t="s">
        <v>425</v>
      </c>
      <c r="D127" s="1976" t="s">
        <v>845</v>
      </c>
      <c r="E127" s="2074" t="s">
        <v>646</v>
      </c>
      <c r="F127" s="2075"/>
      <c r="G127" s="2002" t="s">
        <v>257</v>
      </c>
      <c r="H127" s="2003"/>
      <c r="I127" s="1976" t="s">
        <v>239</v>
      </c>
    </row>
    <row r="128" spans="1:9" ht="29.25" customHeight="1">
      <c r="A128" s="1972"/>
      <c r="B128" s="1973"/>
      <c r="C128" s="1977"/>
      <c r="D128" s="1977"/>
      <c r="E128" s="1976" t="s">
        <v>915</v>
      </c>
      <c r="F128" s="1976" t="s">
        <v>917</v>
      </c>
      <c r="G128" s="1976" t="s">
        <v>916</v>
      </c>
      <c r="H128" s="1976" t="s">
        <v>918</v>
      </c>
      <c r="I128" s="1977"/>
    </row>
    <row r="129" spans="1:9" ht="21.75" customHeight="1">
      <c r="A129" s="1974"/>
      <c r="B129" s="1975"/>
      <c r="C129" s="1978"/>
      <c r="D129" s="1978"/>
      <c r="E129" s="1978"/>
      <c r="F129" s="1978"/>
      <c r="G129" s="1978"/>
      <c r="H129" s="1978"/>
      <c r="I129" s="1978"/>
    </row>
    <row r="130" spans="1:9" ht="24.75" customHeight="1">
      <c r="A130" s="1968" t="s">
        <v>603</v>
      </c>
      <c r="B130" s="1968"/>
      <c r="C130" s="790">
        <v>71920070</v>
      </c>
      <c r="D130" s="790">
        <f>C130</f>
        <v>71920070</v>
      </c>
      <c r="E130" s="790">
        <v>50927696.95</v>
      </c>
      <c r="F130" s="1255">
        <f>(E130/E137)*100</f>
        <v>8.422435504660719</v>
      </c>
      <c r="G130" s="1124">
        <v>22280608.27</v>
      </c>
      <c r="H130" s="1255">
        <f>(G130/G137)*100</f>
        <v>9.993873618606788</v>
      </c>
      <c r="I130" s="1266"/>
    </row>
    <row r="131" spans="1:9" ht="18" customHeight="1">
      <c r="A131" s="1968" t="s">
        <v>604</v>
      </c>
      <c r="B131" s="1968"/>
      <c r="C131" s="790">
        <v>369060376</v>
      </c>
      <c r="D131" s="790">
        <f>C131</f>
        <v>369060376</v>
      </c>
      <c r="E131" s="790">
        <v>288984483.93</v>
      </c>
      <c r="F131" s="1255">
        <f>(E131/E137)*100</f>
        <v>47.79232762356608</v>
      </c>
      <c r="G131" s="1124">
        <v>114580960.03</v>
      </c>
      <c r="H131" s="1255">
        <f>(G131/G137)*100</f>
        <v>51.394810220702105</v>
      </c>
      <c r="I131" s="1266"/>
    </row>
    <row r="132" spans="1:9" ht="18" customHeight="1">
      <c r="A132" s="1968" t="s">
        <v>605</v>
      </c>
      <c r="B132" s="1968"/>
      <c r="C132" s="790">
        <v>26135188</v>
      </c>
      <c r="D132" s="790">
        <f>C132</f>
        <v>26135188</v>
      </c>
      <c r="E132" s="790">
        <v>4933690.59</v>
      </c>
      <c r="F132" s="1255">
        <f>(E132/E137)*100</f>
        <v>0.815935007526911</v>
      </c>
      <c r="G132" s="1124">
        <v>1827362.99</v>
      </c>
      <c r="H132" s="1255">
        <f>(G132/G137)*100</f>
        <v>0.819656023573158</v>
      </c>
      <c r="I132" s="1266"/>
    </row>
    <row r="133" spans="1:9" ht="18" customHeight="1">
      <c r="A133" s="1968" t="s">
        <v>606</v>
      </c>
      <c r="B133" s="1968"/>
      <c r="C133" s="790">
        <v>23473759</v>
      </c>
      <c r="D133" s="790">
        <f>C133</f>
        <v>23473759</v>
      </c>
      <c r="E133" s="790">
        <v>15939337.4</v>
      </c>
      <c r="F133" s="1255">
        <f>(E133/E137)*100</f>
        <v>2.6360516826497973</v>
      </c>
      <c r="G133" s="1124">
        <v>5426715.37</v>
      </c>
      <c r="H133" s="1255">
        <f>(G133/G137)*100</f>
        <v>2.4341304741197254</v>
      </c>
      <c r="I133" s="1267"/>
    </row>
    <row r="134" spans="1:11" ht="18" customHeight="1">
      <c r="A134" s="2029" t="s">
        <v>607</v>
      </c>
      <c r="B134" s="2030"/>
      <c r="C134" s="790"/>
      <c r="D134" s="790"/>
      <c r="E134" s="790"/>
      <c r="F134" s="1255">
        <f>(E134/E137)*100</f>
        <v>0</v>
      </c>
      <c r="G134" s="1124"/>
      <c r="H134" s="1255">
        <f>(G134/G137)*100</f>
        <v>0</v>
      </c>
      <c r="I134" s="1267"/>
      <c r="J134" s="815"/>
      <c r="K134" s="815"/>
    </row>
    <row r="135" spans="1:9" ht="18" customHeight="1">
      <c r="A135" s="2029" t="s">
        <v>608</v>
      </c>
      <c r="B135" s="2030"/>
      <c r="C135" s="790"/>
      <c r="D135" s="790"/>
      <c r="E135" s="1105"/>
      <c r="F135" s="1255">
        <f>(E135/E137)*100</f>
        <v>0</v>
      </c>
      <c r="G135" s="1124"/>
      <c r="H135" s="1255">
        <f>(G135/G137)*100</f>
        <v>0</v>
      </c>
      <c r="I135" s="1267"/>
    </row>
    <row r="136" spans="1:9" ht="18" customHeight="1">
      <c r="A136" s="2029" t="s">
        <v>609</v>
      </c>
      <c r="B136" s="2030"/>
      <c r="C136" s="790">
        <v>257098708</v>
      </c>
      <c r="D136" s="790">
        <f>C136</f>
        <v>257098708</v>
      </c>
      <c r="E136" s="790">
        <v>243881896.29</v>
      </c>
      <c r="F136" s="1255">
        <f>(E136/E137)*100</f>
        <v>40.333250181596505</v>
      </c>
      <c r="G136" s="1124">
        <v>78827019.22</v>
      </c>
      <c r="H136" s="1255">
        <f>(G136/G137)*100</f>
        <v>35.35752966299821</v>
      </c>
      <c r="I136" s="1266"/>
    </row>
    <row r="137" spans="1:9" s="600" customFormat="1" ht="18" customHeight="1">
      <c r="A137" s="792" t="s">
        <v>397</v>
      </c>
      <c r="B137" s="792"/>
      <c r="C137" s="990">
        <f>SUM(C130:C136)</f>
        <v>747688101</v>
      </c>
      <c r="D137" s="990">
        <f>SUM(D130:D136)</f>
        <v>747688101</v>
      </c>
      <c r="E137" s="1104">
        <f>SUM(E130:E136)</f>
        <v>604667105.16</v>
      </c>
      <c r="F137" s="1296">
        <f>(E137/E137)*100</f>
        <v>100</v>
      </c>
      <c r="G137" s="1301">
        <f>SUM(G130:G136)</f>
        <v>222942665.88000003</v>
      </c>
      <c r="H137" s="1296">
        <f>(G137/G137)*100</f>
        <v>100</v>
      </c>
      <c r="I137" s="1302">
        <f>SUM(I130:I136)</f>
        <v>0</v>
      </c>
    </row>
    <row r="138" spans="1:9" s="600" customFormat="1" ht="18" customHeight="1">
      <c r="A138" s="474"/>
      <c r="B138" s="474"/>
      <c r="C138" s="817"/>
      <c r="D138" s="817"/>
      <c r="E138" s="817"/>
      <c r="F138" s="818"/>
      <c r="G138" s="474"/>
      <c r="H138" s="474"/>
      <c r="I138" s="816"/>
    </row>
    <row r="139" spans="1:8" ht="12.75">
      <c r="A139" s="819" t="s">
        <v>89</v>
      </c>
      <c r="B139" s="820"/>
      <c r="C139" s="820"/>
      <c r="D139" s="820"/>
      <c r="E139" s="820"/>
      <c r="F139" s="820"/>
      <c r="G139" s="820"/>
      <c r="H139" s="821"/>
    </row>
    <row r="140" spans="1:8" ht="12.75">
      <c r="A140" s="1967" t="s">
        <v>756</v>
      </c>
      <c r="B140" s="1967"/>
      <c r="C140" s="1967"/>
      <c r="D140" s="1967"/>
      <c r="E140" s="1967"/>
      <c r="F140" s="1967"/>
      <c r="G140" s="1967"/>
      <c r="H140" s="822"/>
    </row>
    <row r="141" spans="1:8" ht="12.75" customHeight="1">
      <c r="A141" s="1967" t="s">
        <v>758</v>
      </c>
      <c r="B141" s="1967"/>
      <c r="C141" s="1967"/>
      <c r="D141" s="1967"/>
      <c r="E141" s="1967"/>
      <c r="F141" s="1967"/>
      <c r="G141" s="1967"/>
      <c r="H141" s="823"/>
    </row>
    <row r="142" spans="1:8" ht="12.75">
      <c r="A142" s="1967" t="s">
        <v>757</v>
      </c>
      <c r="B142" s="1967"/>
      <c r="C142" s="1967"/>
      <c r="D142" s="1967"/>
      <c r="E142" s="1967"/>
      <c r="F142" s="1967"/>
      <c r="G142" s="1967"/>
      <c r="H142" s="821"/>
    </row>
    <row r="143" spans="1:8" ht="12.75">
      <c r="A143" s="2080" t="s">
        <v>759</v>
      </c>
      <c r="B143" s="2080"/>
      <c r="C143" s="2080"/>
      <c r="D143" s="2080"/>
      <c r="E143" s="2080"/>
      <c r="F143" s="2080"/>
      <c r="G143" s="2080"/>
      <c r="H143" s="821"/>
    </row>
    <row r="144" spans="1:8" ht="12.75">
      <c r="A144" s="2076" t="s">
        <v>760</v>
      </c>
      <c r="B144" s="2076"/>
      <c r="C144" s="2076"/>
      <c r="D144" s="2076"/>
      <c r="E144" s="2076"/>
      <c r="F144" s="2076"/>
      <c r="G144" s="2076"/>
      <c r="H144" s="821"/>
    </row>
    <row r="145" spans="1:8" ht="12.75">
      <c r="A145" s="819"/>
      <c r="B145" s="824"/>
      <c r="C145" s="820"/>
      <c r="D145" s="820"/>
      <c r="E145" s="820"/>
      <c r="F145" s="820"/>
      <c r="G145" s="820"/>
      <c r="H145" s="821"/>
    </row>
    <row r="146" spans="1:8" ht="12.75">
      <c r="A146" s="2081" t="str">
        <f>'Anexo 1 _ BAL ORC'!A100</f>
        <v>  São Luís, 22 de Maio de 2015</v>
      </c>
      <c r="B146" s="2081"/>
      <c r="C146" s="2081"/>
      <c r="D146" s="2081"/>
      <c r="E146" s="2081"/>
      <c r="F146" s="825"/>
      <c r="G146" s="826"/>
      <c r="H146" s="826"/>
    </row>
    <row r="147" spans="1:8" ht="12.75">
      <c r="A147" s="474"/>
      <c r="B147" s="474"/>
      <c r="C147" s="474"/>
      <c r="D147" s="474"/>
      <c r="E147" s="474"/>
      <c r="F147" s="474"/>
      <c r="G147" s="474"/>
      <c r="H147" s="474"/>
    </row>
    <row r="148" spans="1:8" ht="12.75">
      <c r="A148" s="474"/>
      <c r="B148" s="474"/>
      <c r="C148" s="474"/>
      <c r="D148" s="474"/>
      <c r="E148" s="474"/>
      <c r="F148" s="474"/>
      <c r="G148" s="474"/>
      <c r="H148" s="474"/>
    </row>
    <row r="149" spans="1:8" ht="12.75">
      <c r="A149" s="474"/>
      <c r="B149" s="474"/>
      <c r="C149" s="474"/>
      <c r="D149" s="474"/>
      <c r="E149" s="474"/>
      <c r="F149" s="474"/>
      <c r="G149" s="474"/>
      <c r="H149" s="474"/>
    </row>
    <row r="150" spans="1:8" ht="12.75">
      <c r="A150" s="474"/>
      <c r="B150" s="1125"/>
      <c r="C150" s="474"/>
      <c r="D150" s="1125"/>
      <c r="E150" s="474"/>
      <c r="F150" s="474"/>
      <c r="G150" s="474"/>
      <c r="H150" s="474"/>
    </row>
    <row r="151" spans="1:8" ht="12.75">
      <c r="A151" s="474"/>
      <c r="B151" s="1126"/>
      <c r="C151" s="474"/>
      <c r="D151" s="1126"/>
      <c r="E151" s="474"/>
      <c r="F151" s="474"/>
      <c r="G151" s="474"/>
      <c r="H151" s="474"/>
    </row>
    <row r="152" spans="1:8" ht="12.75">
      <c r="A152" s="474"/>
      <c r="B152" s="474"/>
      <c r="C152" s="474"/>
      <c r="D152" s="474"/>
      <c r="E152" s="474"/>
      <c r="F152" s="474"/>
      <c r="G152" s="474"/>
      <c r="H152" s="474"/>
    </row>
    <row r="153" spans="1:8" ht="12.75">
      <c r="A153" s="474"/>
      <c r="B153" s="474"/>
      <c r="C153" s="474"/>
      <c r="D153" s="474"/>
      <c r="E153" s="474"/>
      <c r="F153" s="474"/>
      <c r="G153" s="474"/>
      <c r="H153" s="474"/>
    </row>
    <row r="154" spans="1:8" ht="12.75">
      <c r="A154" s="474"/>
      <c r="B154" s="474"/>
      <c r="C154" s="474"/>
      <c r="D154" s="474"/>
      <c r="E154" s="474"/>
      <c r="F154" s="474"/>
      <c r="G154" s="474"/>
      <c r="H154" s="474"/>
    </row>
    <row r="155" spans="1:8" ht="12.75" customHeight="1">
      <c r="A155" s="1102"/>
      <c r="B155" s="1102"/>
      <c r="C155" s="1102"/>
      <c r="D155" s="1102"/>
      <c r="E155" s="1102"/>
      <c r="F155" s="1102"/>
      <c r="G155" s="1102"/>
      <c r="H155" s="1102"/>
    </row>
    <row r="156" spans="1:8" ht="12.75">
      <c r="A156" s="1102"/>
      <c r="B156" s="2082"/>
      <c r="C156" s="2082"/>
      <c r="D156" s="1127"/>
      <c r="E156" s="1102"/>
      <c r="F156" s="1102"/>
      <c r="G156" s="1102"/>
      <c r="H156" s="1102"/>
    </row>
    <row r="157" spans="1:8" ht="12.75">
      <c r="A157" s="1102"/>
      <c r="B157" s="2079"/>
      <c r="C157" s="2079"/>
      <c r="D157" s="1128"/>
      <c r="E157" s="1102"/>
      <c r="F157" s="1102"/>
      <c r="G157" s="1102"/>
      <c r="H157" s="1102"/>
    </row>
    <row r="158" spans="1:8" ht="12.75">
      <c r="A158" s="1102"/>
      <c r="B158" s="2079"/>
      <c r="C158" s="2079"/>
      <c r="D158" s="1128"/>
      <c r="E158" s="1102"/>
      <c r="F158" s="1102"/>
      <c r="G158" s="1102"/>
      <c r="H158" s="1102"/>
    </row>
    <row r="159" spans="1:8" ht="18" customHeight="1">
      <c r="A159" s="1102"/>
      <c r="B159" s="1102"/>
      <c r="C159" s="1102"/>
      <c r="D159" s="1102"/>
      <c r="E159" s="1102"/>
      <c r="F159" s="1102"/>
      <c r="G159" s="1102"/>
      <c r="H159" s="1102"/>
    </row>
    <row r="160" spans="1:8" ht="36" customHeight="1">
      <c r="A160" s="1102"/>
      <c r="B160" s="1102"/>
      <c r="C160" s="1102"/>
      <c r="D160" s="1102"/>
      <c r="E160" s="1102"/>
      <c r="F160" s="1102"/>
      <c r="G160" s="1102"/>
      <c r="H160" s="1102"/>
    </row>
    <row r="161" ht="12.75" hidden="1"/>
  </sheetData>
  <sheetProtection/>
  <mergeCells count="261">
    <mergeCell ref="G38:I38"/>
    <mergeCell ref="G39:I39"/>
    <mergeCell ref="G40:I40"/>
    <mergeCell ref="G41:I41"/>
    <mergeCell ref="G42:I42"/>
    <mergeCell ref="G43:I43"/>
    <mergeCell ref="G30:I30"/>
    <mergeCell ref="E33:I33"/>
    <mergeCell ref="G34:I34"/>
    <mergeCell ref="G35:I35"/>
    <mergeCell ref="G36:I36"/>
    <mergeCell ref="G37:I37"/>
    <mergeCell ref="G24:I24"/>
    <mergeCell ref="G25:I25"/>
    <mergeCell ref="G26:I26"/>
    <mergeCell ref="G27:I27"/>
    <mergeCell ref="G28:I28"/>
    <mergeCell ref="G29:I29"/>
    <mergeCell ref="I69:I71"/>
    <mergeCell ref="E70:E71"/>
    <mergeCell ref="F70:F71"/>
    <mergeCell ref="G70:G71"/>
    <mergeCell ref="H70:H71"/>
    <mergeCell ref="E56:F56"/>
    <mergeCell ref="E57:E58"/>
    <mergeCell ref="F57:F58"/>
    <mergeCell ref="H57:H58"/>
    <mergeCell ref="I56:I58"/>
    <mergeCell ref="C113:D113"/>
    <mergeCell ref="E112:F112"/>
    <mergeCell ref="E113:F113"/>
    <mergeCell ref="C116:I116"/>
    <mergeCell ref="G113:I113"/>
    <mergeCell ref="G114:I114"/>
    <mergeCell ref="G127:H127"/>
    <mergeCell ref="C120:D120"/>
    <mergeCell ref="G69:H69"/>
    <mergeCell ref="G119:I119"/>
    <mergeCell ref="G117:I117"/>
    <mergeCell ref="G118:I118"/>
    <mergeCell ref="C123:D123"/>
    <mergeCell ref="E120:F120"/>
    <mergeCell ref="C121:D121"/>
    <mergeCell ref="E121:F121"/>
    <mergeCell ref="A131:B131"/>
    <mergeCell ref="E123:F123"/>
    <mergeCell ref="C122:D122"/>
    <mergeCell ref="E127:F127"/>
    <mergeCell ref="A112:B112"/>
    <mergeCell ref="A116:B117"/>
    <mergeCell ref="C117:D117"/>
    <mergeCell ref="A123:B123"/>
    <mergeCell ref="C119:D119"/>
    <mergeCell ref="C118:D118"/>
    <mergeCell ref="B157:C157"/>
    <mergeCell ref="B158:C158"/>
    <mergeCell ref="A133:B133"/>
    <mergeCell ref="A134:B134"/>
    <mergeCell ref="A135:B135"/>
    <mergeCell ref="A136:B136"/>
    <mergeCell ref="A143:G143"/>
    <mergeCell ref="A146:E146"/>
    <mergeCell ref="B156:C156"/>
    <mergeCell ref="A142:G142"/>
    <mergeCell ref="A144:G144"/>
    <mergeCell ref="A141:G141"/>
    <mergeCell ref="A132:B132"/>
    <mergeCell ref="C110:D110"/>
    <mergeCell ref="E110:F110"/>
    <mergeCell ref="G120:I120"/>
    <mergeCell ref="G121:I121"/>
    <mergeCell ref="I127:I129"/>
    <mergeCell ref="C114:D114"/>
    <mergeCell ref="E114:F114"/>
    <mergeCell ref="A64:B64"/>
    <mergeCell ref="A73:B73"/>
    <mergeCell ref="A74:B74"/>
    <mergeCell ref="A69:B71"/>
    <mergeCell ref="A72:B72"/>
    <mergeCell ref="E69:F69"/>
    <mergeCell ref="A43:B43"/>
    <mergeCell ref="E23:F23"/>
    <mergeCell ref="E24:F24"/>
    <mergeCell ref="E25:F25"/>
    <mergeCell ref="E26:F26"/>
    <mergeCell ref="E27:F27"/>
    <mergeCell ref="E35:F35"/>
    <mergeCell ref="E36:F36"/>
    <mergeCell ref="E37:F37"/>
    <mergeCell ref="E38:F38"/>
    <mergeCell ref="A39:B39"/>
    <mergeCell ref="A40:B40"/>
    <mergeCell ref="A30:B30"/>
    <mergeCell ref="E30:F30"/>
    <mergeCell ref="A41:B41"/>
    <mergeCell ref="A42:B42"/>
    <mergeCell ref="E39:F39"/>
    <mergeCell ref="C33:C34"/>
    <mergeCell ref="D33:D34"/>
    <mergeCell ref="A35:B35"/>
    <mergeCell ref="A36:B36"/>
    <mergeCell ref="A37:B37"/>
    <mergeCell ref="A38:B38"/>
    <mergeCell ref="A20:B20"/>
    <mergeCell ref="E20:F20"/>
    <mergeCell ref="A21:B21"/>
    <mergeCell ref="E21:F21"/>
    <mergeCell ref="A28:B28"/>
    <mergeCell ref="E28:F28"/>
    <mergeCell ref="A23:B23"/>
    <mergeCell ref="E7:G7"/>
    <mergeCell ref="E14:F14"/>
    <mergeCell ref="E15:F15"/>
    <mergeCell ref="E16:F16"/>
    <mergeCell ref="E17:F17"/>
    <mergeCell ref="E22:F22"/>
    <mergeCell ref="E12:F12"/>
    <mergeCell ref="E13:F13"/>
    <mergeCell ref="E18:F18"/>
    <mergeCell ref="E19:F19"/>
    <mergeCell ref="A1:G1"/>
    <mergeCell ref="A2:G2"/>
    <mergeCell ref="A3:G3"/>
    <mergeCell ref="A4:G4"/>
    <mergeCell ref="E6:G6"/>
    <mergeCell ref="A5:D5"/>
    <mergeCell ref="A9:B11"/>
    <mergeCell ref="A14:B14"/>
    <mergeCell ref="A15:B15"/>
    <mergeCell ref="A16:B16"/>
    <mergeCell ref="A17:B17"/>
    <mergeCell ref="A22:B22"/>
    <mergeCell ref="A12:B12"/>
    <mergeCell ref="A13:B13"/>
    <mergeCell ref="A18:B18"/>
    <mergeCell ref="A19:B19"/>
    <mergeCell ref="A24:B24"/>
    <mergeCell ref="A25:B25"/>
    <mergeCell ref="A26:B26"/>
    <mergeCell ref="A27:B27"/>
    <mergeCell ref="A33:B34"/>
    <mergeCell ref="A29:B29"/>
    <mergeCell ref="E10:F11"/>
    <mergeCell ref="E9:I9"/>
    <mergeCell ref="G10:I10"/>
    <mergeCell ref="G11:I11"/>
    <mergeCell ref="G122:I122"/>
    <mergeCell ref="G123:I123"/>
    <mergeCell ref="G15:I15"/>
    <mergeCell ref="G16:I16"/>
    <mergeCell ref="G17:I17"/>
    <mergeCell ref="G18:I18"/>
    <mergeCell ref="E119:F119"/>
    <mergeCell ref="H128:H129"/>
    <mergeCell ref="E34:F34"/>
    <mergeCell ref="G21:I21"/>
    <mergeCell ref="G22:I22"/>
    <mergeCell ref="G23:I23"/>
    <mergeCell ref="E40:F40"/>
    <mergeCell ref="E41:F41"/>
    <mergeCell ref="A52:G52"/>
    <mergeCell ref="A66:B66"/>
    <mergeCell ref="A113:B113"/>
    <mergeCell ref="A114:B114"/>
    <mergeCell ref="A78:B78"/>
    <mergeCell ref="E93:F93"/>
    <mergeCell ref="E94:F94"/>
    <mergeCell ref="A118:B118"/>
    <mergeCell ref="C109:D109"/>
    <mergeCell ref="E109:F109"/>
    <mergeCell ref="E118:F118"/>
    <mergeCell ref="C112:D112"/>
    <mergeCell ref="E42:F42"/>
    <mergeCell ref="E29:F29"/>
    <mergeCell ref="E43:F43"/>
    <mergeCell ref="E92:F92"/>
    <mergeCell ref="A63:B63"/>
    <mergeCell ref="A91:B91"/>
    <mergeCell ref="A49:G49"/>
    <mergeCell ref="A53:D53"/>
    <mergeCell ref="E54:F54"/>
    <mergeCell ref="A65:B65"/>
    <mergeCell ref="A50:G50"/>
    <mergeCell ref="A51:G51"/>
    <mergeCell ref="G56:H56"/>
    <mergeCell ref="G57:G58"/>
    <mergeCell ref="E96:F96"/>
    <mergeCell ref="A79:B79"/>
    <mergeCell ref="A82:B82"/>
    <mergeCell ref="A95:B95"/>
    <mergeCell ref="A96:B96"/>
    <mergeCell ref="A80:B80"/>
    <mergeCell ref="A76:B76"/>
    <mergeCell ref="A77:B77"/>
    <mergeCell ref="A56:B58"/>
    <mergeCell ref="C56:C58"/>
    <mergeCell ref="D56:D57"/>
    <mergeCell ref="A60:B60"/>
    <mergeCell ref="A61:B61"/>
    <mergeCell ref="A59:B59"/>
    <mergeCell ref="A62:B62"/>
    <mergeCell ref="A75:B75"/>
    <mergeCell ref="A93:B93"/>
    <mergeCell ref="A94:B94"/>
    <mergeCell ref="H86:I86"/>
    <mergeCell ref="H88:I88"/>
    <mergeCell ref="H90:I90"/>
    <mergeCell ref="H91:I91"/>
    <mergeCell ref="H92:I92"/>
    <mergeCell ref="H94:I94"/>
    <mergeCell ref="E91:F91"/>
    <mergeCell ref="H95:I95"/>
    <mergeCell ref="H96:I96"/>
    <mergeCell ref="C107:I107"/>
    <mergeCell ref="G108:I108"/>
    <mergeCell ref="A101:G101"/>
    <mergeCell ref="A102:G102"/>
    <mergeCell ref="E95:F95"/>
    <mergeCell ref="A103:D103"/>
    <mergeCell ref="A107:B108"/>
    <mergeCell ref="C108:D108"/>
    <mergeCell ref="G109:I109"/>
    <mergeCell ref="G110:I110"/>
    <mergeCell ref="G111:I111"/>
    <mergeCell ref="A84:B84"/>
    <mergeCell ref="A81:B81"/>
    <mergeCell ref="G112:I112"/>
    <mergeCell ref="A88:G88"/>
    <mergeCell ref="A90:B90"/>
    <mergeCell ref="E90:F90"/>
    <mergeCell ref="A92:B92"/>
    <mergeCell ref="G12:I12"/>
    <mergeCell ref="G13:I13"/>
    <mergeCell ref="G14:I14"/>
    <mergeCell ref="G19:I19"/>
    <mergeCell ref="G20:I20"/>
    <mergeCell ref="A100:G100"/>
    <mergeCell ref="A86:G86"/>
    <mergeCell ref="A87:B87"/>
    <mergeCell ref="A99:G99"/>
    <mergeCell ref="H93:I93"/>
    <mergeCell ref="E108:F108"/>
    <mergeCell ref="D127:D129"/>
    <mergeCell ref="A122:B122"/>
    <mergeCell ref="A109:B109"/>
    <mergeCell ref="A110:B110"/>
    <mergeCell ref="A111:B111"/>
    <mergeCell ref="E117:F117"/>
    <mergeCell ref="F128:F129"/>
    <mergeCell ref="C111:D111"/>
    <mergeCell ref="E111:F111"/>
    <mergeCell ref="A140:G140"/>
    <mergeCell ref="A130:B130"/>
    <mergeCell ref="A119:B119"/>
    <mergeCell ref="A120:B120"/>
    <mergeCell ref="A121:B121"/>
    <mergeCell ref="A127:B129"/>
    <mergeCell ref="C127:C129"/>
    <mergeCell ref="E122:F122"/>
    <mergeCell ref="G128:G129"/>
    <mergeCell ref="E128:E129"/>
  </mergeCells>
  <printOptions/>
  <pageMargins left="0.3" right="0.15748031496062992" top="0.93" bottom="0.34" header="0.1968503937007874" footer="0.2362204724409449"/>
  <pageSetup fitToHeight="2" horizontalDpi="600" verticalDpi="600" orientation="portrait" paperSize="9" scale="70" r:id="rId4"/>
  <ignoredErrors>
    <ignoredError sqref="G35" evalError="1"/>
    <ignoredError sqref="F137:G137 H137 H67 F67 F63 H63 H61 H59 D63 F74 H74 F82:G82 H82 F84:G84 H84" formula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X38"/>
  <sheetViews>
    <sheetView showGridLines="0" zoomScaleSheetLayoutView="90" zoomScalePageLayoutView="0" workbookViewId="0" topLeftCell="A31">
      <selection activeCell="C33" sqref="C33"/>
    </sheetView>
  </sheetViews>
  <sheetFormatPr defaultColWidth="7.8515625" defaultRowHeight="15" customHeight="1"/>
  <cols>
    <col min="1" max="1" width="28.421875" style="833" customWidth="1"/>
    <col min="2" max="2" width="14.140625" style="833" customWidth="1"/>
    <col min="3" max="3" width="14.28125" style="833" customWidth="1"/>
    <col min="4" max="4" width="7.421875" style="842" customWidth="1"/>
    <col min="5" max="5" width="7.57421875" style="842" customWidth="1"/>
    <col min="6" max="14" width="7.8515625" style="833" hidden="1" customWidth="1"/>
    <col min="15" max="15" width="6.28125" style="834" customWidth="1"/>
    <col min="16" max="16" width="7.421875" style="833" customWidth="1"/>
    <col min="17" max="19" width="7.8515625" style="833" hidden="1" customWidth="1"/>
    <col min="20" max="20" width="6.421875" style="833" customWidth="1"/>
    <col min="21" max="21" width="6.7109375" style="833" customWidth="1"/>
    <col min="22" max="23" width="7.140625" style="833" customWidth="1"/>
    <col min="24" max="16384" width="7.8515625" style="833" customWidth="1"/>
  </cols>
  <sheetData>
    <row r="1" spans="1:15" s="244" customFormat="1" ht="15" customHeight="1">
      <c r="A1" s="1726" t="s">
        <v>313</v>
      </c>
      <c r="B1" s="1726"/>
      <c r="C1" s="1726"/>
      <c r="D1" s="1726"/>
      <c r="E1" s="1726"/>
      <c r="O1" s="288"/>
    </row>
    <row r="2" spans="1:15" s="244" customFormat="1" ht="15" customHeight="1">
      <c r="A2" s="1726" t="s">
        <v>0</v>
      </c>
      <c r="B2" s="1726"/>
      <c r="C2" s="1726"/>
      <c r="D2" s="1726"/>
      <c r="E2" s="1726"/>
      <c r="O2" s="288"/>
    </row>
    <row r="3" spans="1:23" s="244" customFormat="1" ht="15" customHeight="1">
      <c r="A3" s="243" t="s">
        <v>610</v>
      </c>
      <c r="B3" s="246"/>
      <c r="C3" s="246"/>
      <c r="E3" s="175"/>
      <c r="O3" s="288"/>
      <c r="P3" s="2093" t="str">
        <f>'Anexo 1 _ BAL ORC'!H3</f>
        <v>Publicação: Diário Oficial do Município nº 96</v>
      </c>
      <c r="Q3" s="2093"/>
      <c r="R3" s="2093"/>
      <c r="S3" s="2093"/>
      <c r="T3" s="2093"/>
      <c r="U3" s="2093"/>
      <c r="V3" s="2093"/>
      <c r="W3" s="2093"/>
    </row>
    <row r="4" spans="1:16" s="244" customFormat="1" ht="15" customHeight="1">
      <c r="A4" s="243" t="s">
        <v>2</v>
      </c>
      <c r="B4" s="247"/>
      <c r="C4" s="247"/>
      <c r="E4" s="175"/>
      <c r="O4" s="288"/>
      <c r="P4" s="228" t="str">
        <f>'Anexo 1 _ BAL ORC'!H4</f>
        <v>Data: 22/05/2015</v>
      </c>
    </row>
    <row r="5" spans="1:15" s="232" customFormat="1" ht="15.75" customHeight="1">
      <c r="A5" s="490" t="s">
        <v>933</v>
      </c>
      <c r="B5" s="490"/>
      <c r="C5" s="490"/>
      <c r="D5" s="490"/>
      <c r="E5" s="829"/>
      <c r="O5" s="476"/>
    </row>
    <row r="6" spans="1:5" ht="15" customHeight="1">
      <c r="A6" s="830"/>
      <c r="B6" s="830"/>
      <c r="C6" s="830"/>
      <c r="D6" s="831"/>
      <c r="E6" s="832"/>
    </row>
    <row r="7" spans="1:24" ht="15" customHeight="1">
      <c r="A7" s="835" t="s">
        <v>692</v>
      </c>
      <c r="B7" s="836"/>
      <c r="C7" s="836"/>
      <c r="D7" s="837"/>
      <c r="E7" s="838"/>
      <c r="F7" s="839"/>
      <c r="G7" s="839"/>
      <c r="H7" s="839"/>
      <c r="I7" s="839"/>
      <c r="J7" s="839"/>
      <c r="K7" s="839"/>
      <c r="L7" s="839"/>
      <c r="M7" s="839"/>
      <c r="N7" s="839"/>
      <c r="O7" s="840"/>
      <c r="P7" s="839"/>
      <c r="Q7" s="839"/>
      <c r="R7" s="839"/>
      <c r="S7" s="839"/>
      <c r="T7" s="839"/>
      <c r="U7" s="839"/>
      <c r="V7" s="839"/>
      <c r="W7" s="839"/>
      <c r="X7" s="839"/>
    </row>
    <row r="8" spans="1:24" ht="34.5" customHeight="1">
      <c r="A8" s="2094" t="s">
        <v>184</v>
      </c>
      <c r="B8" s="2095"/>
      <c r="C8" s="2098" t="s">
        <v>611</v>
      </c>
      <c r="D8" s="2099"/>
      <c r="E8" s="2102" t="s">
        <v>920</v>
      </c>
      <c r="F8" s="2102"/>
      <c r="G8" s="2102"/>
      <c r="H8" s="2102"/>
      <c r="I8" s="2102"/>
      <c r="J8" s="2102"/>
      <c r="K8" s="2102"/>
      <c r="L8" s="2102"/>
      <c r="M8" s="2102"/>
      <c r="N8" s="2102"/>
      <c r="O8" s="2102"/>
      <c r="P8" s="2102"/>
      <c r="Q8" s="2102"/>
      <c r="R8" s="2102"/>
      <c r="S8" s="2102"/>
      <c r="T8" s="2102"/>
      <c r="U8" s="2102"/>
      <c r="V8" s="2103" t="s">
        <v>612</v>
      </c>
      <c r="W8" s="2104"/>
      <c r="X8" s="2105"/>
    </row>
    <row r="9" spans="1:24" ht="27.75" customHeight="1">
      <c r="A9" s="2096"/>
      <c r="B9" s="2097"/>
      <c r="C9" s="2100"/>
      <c r="D9" s="2101"/>
      <c r="E9" s="2109" t="s">
        <v>102</v>
      </c>
      <c r="F9" s="2109"/>
      <c r="G9" s="2109"/>
      <c r="H9" s="2109"/>
      <c r="I9" s="2109"/>
      <c r="J9" s="2109"/>
      <c r="K9" s="2109"/>
      <c r="L9" s="2109"/>
      <c r="M9" s="2109"/>
      <c r="N9" s="2109"/>
      <c r="O9" s="2109"/>
      <c r="P9" s="2110" t="s">
        <v>613</v>
      </c>
      <c r="Q9" s="2110"/>
      <c r="R9" s="2110"/>
      <c r="S9" s="2110"/>
      <c r="T9" s="2110"/>
      <c r="U9" s="2110"/>
      <c r="V9" s="2106"/>
      <c r="W9" s="2107"/>
      <c r="X9" s="2108"/>
    </row>
    <row r="10" spans="1:24" ht="15" customHeight="1">
      <c r="A10" s="2111" t="s">
        <v>614</v>
      </c>
      <c r="B10" s="2111"/>
      <c r="C10" s="2112">
        <f>C11+C12+C13</f>
        <v>0</v>
      </c>
      <c r="D10" s="2113"/>
      <c r="E10" s="2112">
        <f>E11+E12+E13</f>
        <v>0</v>
      </c>
      <c r="F10" s="2114"/>
      <c r="G10" s="2114"/>
      <c r="H10" s="2114"/>
      <c r="I10" s="2114"/>
      <c r="J10" s="2114"/>
      <c r="K10" s="2114"/>
      <c r="L10" s="2114"/>
      <c r="M10" s="2114"/>
      <c r="N10" s="2114"/>
      <c r="O10" s="2113"/>
      <c r="P10" s="2115">
        <f>P11+P12+P13</f>
        <v>0</v>
      </c>
      <c r="Q10" s="2116"/>
      <c r="R10" s="2116"/>
      <c r="S10" s="2116"/>
      <c r="T10" s="2116"/>
      <c r="U10" s="2116"/>
      <c r="V10" s="2115">
        <f>V11+V12+V13</f>
        <v>0</v>
      </c>
      <c r="W10" s="2116"/>
      <c r="X10" s="2117"/>
    </row>
    <row r="11" spans="1:24" ht="15" customHeight="1">
      <c r="A11" s="2118" t="s">
        <v>761</v>
      </c>
      <c r="B11" s="2118"/>
      <c r="C11" s="2119"/>
      <c r="D11" s="2120"/>
      <c r="E11" s="2121"/>
      <c r="F11" s="2122"/>
      <c r="G11" s="2122"/>
      <c r="H11" s="2122"/>
      <c r="I11" s="2122"/>
      <c r="J11" s="2122"/>
      <c r="K11" s="2122"/>
      <c r="L11" s="2122"/>
      <c r="M11" s="2122"/>
      <c r="N11" s="2122"/>
      <c r="O11" s="2123"/>
      <c r="P11" s="2124"/>
      <c r="Q11" s="2125"/>
      <c r="R11" s="2125"/>
      <c r="S11" s="2125"/>
      <c r="T11" s="2125"/>
      <c r="U11" s="2125"/>
      <c r="V11" s="2126">
        <f>C11+P11</f>
        <v>0</v>
      </c>
      <c r="W11" s="2127"/>
      <c r="X11" s="2128"/>
    </row>
    <row r="12" spans="1:24" ht="15" customHeight="1">
      <c r="A12" s="2118" t="s">
        <v>615</v>
      </c>
      <c r="B12" s="2118"/>
      <c r="C12" s="2119"/>
      <c r="D12" s="2120"/>
      <c r="E12" s="2121"/>
      <c r="F12" s="2122"/>
      <c r="G12" s="2122"/>
      <c r="H12" s="2122"/>
      <c r="I12" s="2122"/>
      <c r="J12" s="2122"/>
      <c r="K12" s="2122"/>
      <c r="L12" s="2122"/>
      <c r="M12" s="2122"/>
      <c r="N12" s="2122"/>
      <c r="O12" s="2123"/>
      <c r="P12" s="2124"/>
      <c r="Q12" s="2125"/>
      <c r="R12" s="2125"/>
      <c r="S12" s="2125"/>
      <c r="T12" s="2125"/>
      <c r="U12" s="2125"/>
      <c r="V12" s="2126">
        <f>C12+P12</f>
        <v>0</v>
      </c>
      <c r="W12" s="2127"/>
      <c r="X12" s="2128"/>
    </row>
    <row r="13" spans="1:24" ht="15" customHeight="1">
      <c r="A13" s="2129" t="s">
        <v>616</v>
      </c>
      <c r="B13" s="2129"/>
      <c r="C13" s="2130"/>
      <c r="D13" s="2097"/>
      <c r="E13" s="2131"/>
      <c r="F13" s="2132"/>
      <c r="G13" s="2132"/>
      <c r="H13" s="2132"/>
      <c r="I13" s="2132"/>
      <c r="J13" s="2132"/>
      <c r="K13" s="2132"/>
      <c r="L13" s="2132"/>
      <c r="M13" s="2132"/>
      <c r="N13" s="2132"/>
      <c r="O13" s="2133"/>
      <c r="P13" s="2134"/>
      <c r="Q13" s="2135"/>
      <c r="R13" s="2135"/>
      <c r="S13" s="2135"/>
      <c r="T13" s="2135"/>
      <c r="U13" s="2135"/>
      <c r="V13" s="2136">
        <f>C13+P13</f>
        <v>0</v>
      </c>
      <c r="W13" s="2137"/>
      <c r="X13" s="2138"/>
    </row>
    <row r="14" spans="1:24" ht="15" customHeight="1">
      <c r="A14" s="2111" t="s">
        <v>617</v>
      </c>
      <c r="B14" s="2111"/>
      <c r="C14" s="2112">
        <f>C15+C16+C17</f>
        <v>0</v>
      </c>
      <c r="D14" s="2113"/>
      <c r="E14" s="2112">
        <f>E15+E16+E17</f>
        <v>0</v>
      </c>
      <c r="F14" s="2114"/>
      <c r="G14" s="2114"/>
      <c r="H14" s="2114"/>
      <c r="I14" s="2114"/>
      <c r="J14" s="2114"/>
      <c r="K14" s="2114"/>
      <c r="L14" s="2114"/>
      <c r="M14" s="2114"/>
      <c r="N14" s="2114"/>
      <c r="O14" s="2113"/>
      <c r="P14" s="2115">
        <f>P15+P16+P17</f>
        <v>0</v>
      </c>
      <c r="Q14" s="2116"/>
      <c r="R14" s="2116"/>
      <c r="S14" s="2116"/>
      <c r="T14" s="2116"/>
      <c r="U14" s="2117"/>
      <c r="V14" s="2126">
        <f>V15+V16+V17</f>
        <v>0</v>
      </c>
      <c r="W14" s="2127"/>
      <c r="X14" s="2128"/>
    </row>
    <row r="15" spans="1:24" ht="15" customHeight="1">
      <c r="A15" s="2118" t="s">
        <v>618</v>
      </c>
      <c r="B15" s="2118"/>
      <c r="C15" s="2139"/>
      <c r="D15" s="2140"/>
      <c r="E15" s="2139"/>
      <c r="F15" s="2141"/>
      <c r="G15" s="2141"/>
      <c r="H15" s="2141"/>
      <c r="I15" s="2141"/>
      <c r="J15" s="2141"/>
      <c r="K15" s="2141"/>
      <c r="L15" s="2141"/>
      <c r="M15" s="2141"/>
      <c r="N15" s="2141"/>
      <c r="O15" s="2140"/>
      <c r="P15" s="2126"/>
      <c r="Q15" s="2127"/>
      <c r="R15" s="2127"/>
      <c r="S15" s="2127"/>
      <c r="T15" s="2127"/>
      <c r="U15" s="2128"/>
      <c r="V15" s="2126">
        <f>C15+P15</f>
        <v>0</v>
      </c>
      <c r="W15" s="2127"/>
      <c r="X15" s="2128"/>
    </row>
    <row r="16" spans="1:24" ht="15" customHeight="1">
      <c r="A16" s="841" t="s">
        <v>619</v>
      </c>
      <c r="B16" s="843"/>
      <c r="C16" s="2139"/>
      <c r="D16" s="2140"/>
      <c r="E16" s="2139"/>
      <c r="F16" s="2141"/>
      <c r="G16" s="2141"/>
      <c r="H16" s="2141"/>
      <c r="I16" s="2141"/>
      <c r="J16" s="2141"/>
      <c r="K16" s="2141"/>
      <c r="L16" s="2141"/>
      <c r="M16" s="2141"/>
      <c r="N16" s="2141"/>
      <c r="O16" s="2140"/>
      <c r="P16" s="2126"/>
      <c r="Q16" s="2127"/>
      <c r="R16" s="2127"/>
      <c r="S16" s="2127"/>
      <c r="T16" s="2127"/>
      <c r="U16" s="2128"/>
      <c r="V16" s="2126">
        <f>C16+P16</f>
        <v>0</v>
      </c>
      <c r="W16" s="2127"/>
      <c r="X16" s="2128"/>
    </row>
    <row r="17" spans="1:24" ht="15" customHeight="1">
      <c r="A17" s="2129" t="s">
        <v>620</v>
      </c>
      <c r="B17" s="2129"/>
      <c r="C17" s="2142"/>
      <c r="D17" s="2143"/>
      <c r="E17" s="2142"/>
      <c r="F17" s="2144"/>
      <c r="G17" s="2144"/>
      <c r="H17" s="2144"/>
      <c r="I17" s="2144"/>
      <c r="J17" s="2144"/>
      <c r="K17" s="2144"/>
      <c r="L17" s="2144"/>
      <c r="M17" s="2144"/>
      <c r="N17" s="2144"/>
      <c r="O17" s="2143"/>
      <c r="P17" s="2136"/>
      <c r="Q17" s="2137"/>
      <c r="R17" s="2137"/>
      <c r="S17" s="2137"/>
      <c r="T17" s="2137"/>
      <c r="U17" s="2138"/>
      <c r="V17" s="2126">
        <f>C17+P17</f>
        <v>0</v>
      </c>
      <c r="W17" s="2127"/>
      <c r="X17" s="2128"/>
    </row>
    <row r="18" spans="1:24" ht="27.75" customHeight="1">
      <c r="A18" s="844" t="s">
        <v>621</v>
      </c>
      <c r="B18" s="845"/>
      <c r="C18" s="2145"/>
      <c r="D18" s="2146"/>
      <c r="E18" s="2147"/>
      <c r="F18" s="2148"/>
      <c r="G18" s="2148"/>
      <c r="H18" s="2148"/>
      <c r="I18" s="2148"/>
      <c r="J18" s="2148"/>
      <c r="K18" s="2148"/>
      <c r="L18" s="2148"/>
      <c r="M18" s="2148"/>
      <c r="N18" s="2148"/>
      <c r="O18" s="2149"/>
      <c r="P18" s="2150"/>
      <c r="Q18" s="2151"/>
      <c r="R18" s="2151"/>
      <c r="S18" s="2151"/>
      <c r="T18" s="2151"/>
      <c r="U18" s="2152"/>
      <c r="V18" s="2153"/>
      <c r="W18" s="2154"/>
      <c r="X18" s="2155"/>
    </row>
    <row r="19" spans="1:24" ht="29.25" customHeight="1">
      <c r="A19" s="844" t="s">
        <v>622</v>
      </c>
      <c r="B19" s="845"/>
      <c r="C19" s="2156">
        <f>C14-C18</f>
        <v>0</v>
      </c>
      <c r="D19" s="2146"/>
      <c r="E19" s="2157">
        <f>E14-E18</f>
        <v>0</v>
      </c>
      <c r="F19" s="2158"/>
      <c r="G19" s="2158"/>
      <c r="H19" s="2158"/>
      <c r="I19" s="2158"/>
      <c r="J19" s="2158"/>
      <c r="K19" s="2158"/>
      <c r="L19" s="2158"/>
      <c r="M19" s="2158"/>
      <c r="N19" s="2158"/>
      <c r="O19" s="2159"/>
      <c r="P19" s="2160">
        <f>P14-P18</f>
        <v>0</v>
      </c>
      <c r="Q19" s="2151"/>
      <c r="R19" s="2151"/>
      <c r="S19" s="2151"/>
      <c r="T19" s="2151"/>
      <c r="U19" s="2152"/>
      <c r="V19" s="2160">
        <f>V14-V18</f>
        <v>0</v>
      </c>
      <c r="W19" s="2151"/>
      <c r="X19" s="2152"/>
    </row>
    <row r="20" spans="1:24" ht="19.5" customHeight="1">
      <c r="A20" s="841" t="s">
        <v>623</v>
      </c>
      <c r="B20" s="843"/>
      <c r="C20" s="2112">
        <f>C21+C22+C23</f>
        <v>0</v>
      </c>
      <c r="D20" s="2113"/>
      <c r="E20" s="2112">
        <f>E21+E22+E23</f>
        <v>0</v>
      </c>
      <c r="F20" s="2114"/>
      <c r="G20" s="2114"/>
      <c r="H20" s="2114"/>
      <c r="I20" s="2114"/>
      <c r="J20" s="2114"/>
      <c r="K20" s="2114"/>
      <c r="L20" s="2114"/>
      <c r="M20" s="2114"/>
      <c r="N20" s="2114"/>
      <c r="O20" s="2113"/>
      <c r="P20" s="2115">
        <f>P21+P22+P23</f>
        <v>0</v>
      </c>
      <c r="Q20" s="2116"/>
      <c r="R20" s="2116"/>
      <c r="S20" s="2116"/>
      <c r="T20" s="2116"/>
      <c r="U20" s="2117"/>
      <c r="V20" s="2115">
        <f>V21+V22+V23</f>
        <v>0</v>
      </c>
      <c r="W20" s="2116"/>
      <c r="X20" s="2117"/>
    </row>
    <row r="21" spans="1:24" ht="15" customHeight="1">
      <c r="A21" s="841" t="s">
        <v>624</v>
      </c>
      <c r="B21" s="843"/>
      <c r="C21" s="2139"/>
      <c r="D21" s="2140"/>
      <c r="E21" s="2139"/>
      <c r="F21" s="2141"/>
      <c r="G21" s="2141"/>
      <c r="H21" s="2141"/>
      <c r="I21" s="2141"/>
      <c r="J21" s="2141"/>
      <c r="K21" s="2141"/>
      <c r="L21" s="2141"/>
      <c r="M21" s="2141"/>
      <c r="N21" s="2141"/>
      <c r="O21" s="2140"/>
      <c r="P21" s="2126"/>
      <c r="Q21" s="2127"/>
      <c r="R21" s="2127"/>
      <c r="S21" s="2127"/>
      <c r="T21" s="2127"/>
      <c r="U21" s="2128"/>
      <c r="V21" s="2126">
        <f>C21+P21</f>
        <v>0</v>
      </c>
      <c r="W21" s="2127"/>
      <c r="X21" s="2128"/>
    </row>
    <row r="22" spans="1:24" ht="15" customHeight="1">
      <c r="A22" s="841" t="s">
        <v>625</v>
      </c>
      <c r="B22" s="843"/>
      <c r="C22" s="2139"/>
      <c r="D22" s="2140"/>
      <c r="E22" s="2139"/>
      <c r="F22" s="2141"/>
      <c r="G22" s="2141"/>
      <c r="H22" s="2141"/>
      <c r="I22" s="2141"/>
      <c r="J22" s="2141"/>
      <c r="K22" s="2141"/>
      <c r="L22" s="2141"/>
      <c r="M22" s="2141"/>
      <c r="N22" s="2141"/>
      <c r="O22" s="2140"/>
      <c r="P22" s="2126"/>
      <c r="Q22" s="2127"/>
      <c r="R22" s="2127"/>
      <c r="S22" s="2127"/>
      <c r="T22" s="2127"/>
      <c r="U22" s="2128"/>
      <c r="V22" s="2126">
        <f>C22+P22</f>
        <v>0</v>
      </c>
      <c r="W22" s="2127"/>
      <c r="X22" s="2128"/>
    </row>
    <row r="23" spans="1:24" ht="15" customHeight="1">
      <c r="A23" s="835" t="s">
        <v>626</v>
      </c>
      <c r="B23" s="836"/>
      <c r="C23" s="2142"/>
      <c r="D23" s="2143"/>
      <c r="E23" s="2142"/>
      <c r="F23" s="2144"/>
      <c r="G23" s="2144"/>
      <c r="H23" s="2144"/>
      <c r="I23" s="2144"/>
      <c r="J23" s="2144"/>
      <c r="K23" s="2144"/>
      <c r="L23" s="2144"/>
      <c r="M23" s="2144"/>
      <c r="N23" s="2144"/>
      <c r="O23" s="2143"/>
      <c r="P23" s="2136"/>
      <c r="Q23" s="2137"/>
      <c r="R23" s="2137"/>
      <c r="S23" s="2137"/>
      <c r="T23" s="2137"/>
      <c r="U23" s="2138"/>
      <c r="V23" s="2126">
        <f>C23+P23</f>
        <v>0</v>
      </c>
      <c r="W23" s="2127"/>
      <c r="X23" s="2128"/>
    </row>
    <row r="24" spans="1:24" ht="15" customHeight="1">
      <c r="A24" s="849" t="s">
        <v>627</v>
      </c>
      <c r="B24" s="850"/>
      <c r="C24" s="2112">
        <f>C25+C26</f>
        <v>0</v>
      </c>
      <c r="D24" s="2113"/>
      <c r="E24" s="2112">
        <f>E25+E26</f>
        <v>0</v>
      </c>
      <c r="F24" s="2114"/>
      <c r="G24" s="2114"/>
      <c r="H24" s="2114"/>
      <c r="I24" s="2114"/>
      <c r="J24" s="2114"/>
      <c r="K24" s="2114"/>
      <c r="L24" s="2114"/>
      <c r="M24" s="2114"/>
      <c r="N24" s="2114"/>
      <c r="O24" s="2113"/>
      <c r="P24" s="2115">
        <f>P25+P26</f>
        <v>0</v>
      </c>
      <c r="Q24" s="2116"/>
      <c r="R24" s="2116"/>
      <c r="S24" s="2116"/>
      <c r="T24" s="2116"/>
      <c r="U24" s="2117"/>
      <c r="V24" s="2115">
        <f>V25+V26</f>
        <v>0</v>
      </c>
      <c r="W24" s="2116"/>
      <c r="X24" s="2117"/>
    </row>
    <row r="25" spans="1:24" ht="15" customHeight="1">
      <c r="A25" s="849" t="s">
        <v>628</v>
      </c>
      <c r="B25" s="850"/>
      <c r="C25" s="2139"/>
      <c r="D25" s="2140"/>
      <c r="E25" s="2139"/>
      <c r="F25" s="2141"/>
      <c r="G25" s="2141"/>
      <c r="H25" s="2141"/>
      <c r="I25" s="2141"/>
      <c r="J25" s="2141"/>
      <c r="K25" s="2141"/>
      <c r="L25" s="2141"/>
      <c r="M25" s="2141"/>
      <c r="N25" s="2141"/>
      <c r="O25" s="2140"/>
      <c r="P25" s="2126"/>
      <c r="Q25" s="2127"/>
      <c r="R25" s="2127"/>
      <c r="S25" s="2127"/>
      <c r="T25" s="2127"/>
      <c r="U25" s="2128"/>
      <c r="V25" s="2126"/>
      <c r="W25" s="2127"/>
      <c r="X25" s="2128"/>
    </row>
    <row r="26" spans="1:24" ht="15" customHeight="1">
      <c r="A26" s="2129" t="s">
        <v>629</v>
      </c>
      <c r="B26" s="2129"/>
      <c r="C26" s="2142"/>
      <c r="D26" s="2143"/>
      <c r="E26" s="2142"/>
      <c r="F26" s="2144"/>
      <c r="G26" s="2144"/>
      <c r="H26" s="2144"/>
      <c r="I26" s="2144"/>
      <c r="J26" s="2144"/>
      <c r="K26" s="2144"/>
      <c r="L26" s="2144"/>
      <c r="M26" s="2144"/>
      <c r="N26" s="2144"/>
      <c r="O26" s="2143"/>
      <c r="P26" s="2136"/>
      <c r="Q26" s="2137"/>
      <c r="R26" s="2137"/>
      <c r="S26" s="2137"/>
      <c r="T26" s="2137"/>
      <c r="U26" s="2138"/>
      <c r="V26" s="2136"/>
      <c r="W26" s="2137"/>
      <c r="X26" s="2138"/>
    </row>
    <row r="27" spans="1:24" ht="15" customHeight="1">
      <c r="A27" s="2161"/>
      <c r="B27" s="2161"/>
      <c r="C27" s="851"/>
      <c r="D27" s="851"/>
      <c r="E27" s="852"/>
      <c r="V27" s="842"/>
      <c r="W27" s="842"/>
      <c r="X27" s="853"/>
    </row>
    <row r="28" spans="1:24" ht="15" customHeight="1">
      <c r="A28" s="2162" t="s">
        <v>630</v>
      </c>
      <c r="B28" s="2163" t="s">
        <v>551</v>
      </c>
      <c r="C28" s="2165" t="s">
        <v>631</v>
      </c>
      <c r="D28" s="2167" t="s">
        <v>632</v>
      </c>
      <c r="E28" s="2167" t="s">
        <v>633</v>
      </c>
      <c r="F28" s="854"/>
      <c r="G28" s="855"/>
      <c r="H28" s="855"/>
      <c r="I28" s="855"/>
      <c r="J28" s="855"/>
      <c r="K28" s="855"/>
      <c r="L28" s="855"/>
      <c r="M28" s="855"/>
      <c r="N28" s="855"/>
      <c r="O28" s="2167" t="s">
        <v>634</v>
      </c>
      <c r="P28" s="2167" t="s">
        <v>635</v>
      </c>
      <c r="Q28" s="855"/>
      <c r="R28" s="855"/>
      <c r="S28" s="855"/>
      <c r="T28" s="2167" t="s">
        <v>636</v>
      </c>
      <c r="U28" s="2167" t="s">
        <v>637</v>
      </c>
      <c r="V28" s="2167" t="s">
        <v>638</v>
      </c>
      <c r="W28" s="2167" t="s">
        <v>639</v>
      </c>
      <c r="X28" s="2167" t="s">
        <v>640</v>
      </c>
    </row>
    <row r="29" spans="1:24" ht="24" customHeight="1">
      <c r="A29" s="2162"/>
      <c r="B29" s="2164"/>
      <c r="C29" s="2166"/>
      <c r="D29" s="2168"/>
      <c r="E29" s="2168"/>
      <c r="F29" s="854"/>
      <c r="G29" s="855"/>
      <c r="H29" s="855"/>
      <c r="I29" s="855"/>
      <c r="J29" s="855"/>
      <c r="K29" s="855"/>
      <c r="L29" s="855"/>
      <c r="M29" s="855"/>
      <c r="N29" s="855"/>
      <c r="O29" s="2168"/>
      <c r="P29" s="2168"/>
      <c r="Q29" s="855"/>
      <c r="R29" s="855"/>
      <c r="S29" s="855"/>
      <c r="T29" s="2168"/>
      <c r="U29" s="2168"/>
      <c r="V29" s="2168"/>
      <c r="W29" s="2168"/>
      <c r="X29" s="2168"/>
    </row>
    <row r="30" spans="1:24" ht="32.25" customHeight="1">
      <c r="A30" s="856" t="s">
        <v>641</v>
      </c>
      <c r="B30" s="857"/>
      <c r="C30" s="857"/>
      <c r="D30" s="857"/>
      <c r="E30" s="858"/>
      <c r="F30" s="859"/>
      <c r="G30" s="839"/>
      <c r="H30" s="839"/>
      <c r="I30" s="839"/>
      <c r="J30" s="839"/>
      <c r="K30" s="839"/>
      <c r="L30" s="839"/>
      <c r="M30" s="839"/>
      <c r="N30" s="839"/>
      <c r="O30" s="840"/>
      <c r="P30" s="860"/>
      <c r="Q30" s="839"/>
      <c r="R30" s="839"/>
      <c r="S30" s="839"/>
      <c r="T30" s="839"/>
      <c r="U30" s="861"/>
      <c r="V30" s="860"/>
      <c r="W30" s="861"/>
      <c r="X30" s="860"/>
    </row>
    <row r="31" spans="1:24" ht="27.75" customHeight="1">
      <c r="A31" s="862" t="s">
        <v>642</v>
      </c>
      <c r="B31" s="863"/>
      <c r="C31" s="863"/>
      <c r="D31" s="863"/>
      <c r="E31" s="864"/>
      <c r="F31" s="848"/>
      <c r="G31" s="847"/>
      <c r="H31" s="847"/>
      <c r="I31" s="847"/>
      <c r="J31" s="847"/>
      <c r="K31" s="847"/>
      <c r="L31" s="847"/>
      <c r="M31" s="847"/>
      <c r="N31" s="847"/>
      <c r="O31" s="865"/>
      <c r="P31" s="866"/>
      <c r="Q31" s="847"/>
      <c r="R31" s="847"/>
      <c r="S31" s="847"/>
      <c r="T31" s="847"/>
      <c r="U31" s="846"/>
      <c r="V31" s="866"/>
      <c r="W31" s="846"/>
      <c r="X31" s="866"/>
    </row>
    <row r="32" spans="1:24" ht="29.25" customHeight="1">
      <c r="A32" s="867" t="s">
        <v>643</v>
      </c>
      <c r="B32" s="863"/>
      <c r="C32" s="863"/>
      <c r="D32" s="863"/>
      <c r="E32" s="864"/>
      <c r="F32" s="848"/>
      <c r="G32" s="847"/>
      <c r="H32" s="847"/>
      <c r="I32" s="847"/>
      <c r="J32" s="847"/>
      <c r="K32" s="847"/>
      <c r="L32" s="847"/>
      <c r="M32" s="847"/>
      <c r="N32" s="847"/>
      <c r="O32" s="865"/>
      <c r="P32" s="866"/>
      <c r="Q32" s="847"/>
      <c r="R32" s="847"/>
      <c r="S32" s="847"/>
      <c r="T32" s="868"/>
      <c r="U32" s="846"/>
      <c r="V32" s="866"/>
      <c r="W32" s="846"/>
      <c r="X32" s="866"/>
    </row>
    <row r="33" spans="1:24" ht="28.5" customHeight="1">
      <c r="A33" s="869" t="s">
        <v>644</v>
      </c>
      <c r="B33" s="870">
        <v>2071015982.26</v>
      </c>
      <c r="C33" s="870">
        <f>'Anexo 3 _ RCL'!P35</f>
        <v>2141629271.5999997</v>
      </c>
      <c r="D33" s="871"/>
      <c r="E33" s="872"/>
      <c r="F33" s="848"/>
      <c r="G33" s="847"/>
      <c r="H33" s="847"/>
      <c r="I33" s="847"/>
      <c r="J33" s="847"/>
      <c r="K33" s="847"/>
      <c r="L33" s="847"/>
      <c r="M33" s="847"/>
      <c r="N33" s="847"/>
      <c r="O33" s="865"/>
      <c r="P33" s="866"/>
      <c r="Q33" s="847"/>
      <c r="R33" s="847"/>
      <c r="S33" s="847"/>
      <c r="T33" s="847"/>
      <c r="U33" s="846"/>
      <c r="V33" s="866"/>
      <c r="W33" s="846"/>
      <c r="X33" s="866"/>
    </row>
    <row r="34" spans="1:24" ht="27" customHeight="1">
      <c r="A34" s="873" t="s">
        <v>645</v>
      </c>
      <c r="B34" s="874"/>
      <c r="C34" s="874"/>
      <c r="D34" s="875"/>
      <c r="E34" s="876"/>
      <c r="F34" s="848"/>
      <c r="G34" s="847"/>
      <c r="H34" s="847"/>
      <c r="I34" s="847"/>
      <c r="J34" s="847"/>
      <c r="K34" s="847"/>
      <c r="L34" s="847"/>
      <c r="M34" s="847"/>
      <c r="N34" s="847"/>
      <c r="O34" s="865"/>
      <c r="P34" s="866"/>
      <c r="Q34" s="847"/>
      <c r="R34" s="847"/>
      <c r="S34" s="847"/>
      <c r="T34" s="847"/>
      <c r="U34" s="846"/>
      <c r="V34" s="866"/>
      <c r="W34" s="846"/>
      <c r="X34" s="866"/>
    </row>
    <row r="35" spans="1:15" s="244" customFormat="1" ht="15" customHeight="1">
      <c r="A35" s="175" t="str">
        <f>'[16]Anexo VI _ RES NOM'!A44</f>
        <v>FONTE: SECRETARIA MUNICIPAL DA FAZENDA</v>
      </c>
      <c r="B35" s="286"/>
      <c r="C35" s="286"/>
      <c r="D35" s="692"/>
      <c r="E35" s="692"/>
      <c r="O35" s="288"/>
    </row>
    <row r="36" spans="1:23" s="244" customFormat="1" ht="15" customHeight="1">
      <c r="A36" s="175" t="str">
        <f>'Anexo 8 _ ENSINO'!A194</f>
        <v>  São Luís, 22 de Maio de 2015</v>
      </c>
      <c r="B36" s="286"/>
      <c r="C36" s="286"/>
      <c r="D36" s="692"/>
      <c r="E36" s="692"/>
      <c r="O36" s="288"/>
      <c r="W36" s="541"/>
    </row>
    <row r="37" spans="1:15" s="244" customFormat="1" ht="15" customHeight="1">
      <c r="A37" s="287"/>
      <c r="B37" s="168"/>
      <c r="C37" s="159"/>
      <c r="D37" s="159"/>
      <c r="E37" s="877"/>
      <c r="O37" s="288"/>
    </row>
    <row r="38" spans="1:5" s="288" customFormat="1" ht="12.75" customHeight="1">
      <c r="A38" s="224"/>
      <c r="B38" s="113"/>
      <c r="C38" s="113"/>
      <c r="D38" s="113"/>
      <c r="E38" s="224"/>
    </row>
  </sheetData>
  <sheetProtection/>
  <mergeCells count="98">
    <mergeCell ref="P28:P29"/>
    <mergeCell ref="T28:T29"/>
    <mergeCell ref="U28:U29"/>
    <mergeCell ref="V28:V29"/>
    <mergeCell ref="W28:W29"/>
    <mergeCell ref="X28:X29"/>
    <mergeCell ref="A28:A29"/>
    <mergeCell ref="B28:B29"/>
    <mergeCell ref="C28:C29"/>
    <mergeCell ref="D28:D29"/>
    <mergeCell ref="E28:E29"/>
    <mergeCell ref="O28:O29"/>
    <mergeCell ref="A26:B26"/>
    <mergeCell ref="C26:D26"/>
    <mergeCell ref="E26:O26"/>
    <mergeCell ref="P26:U26"/>
    <mergeCell ref="V26:X26"/>
    <mergeCell ref="A27:B27"/>
    <mergeCell ref="C24:D24"/>
    <mergeCell ref="E24:O24"/>
    <mergeCell ref="P24:U24"/>
    <mergeCell ref="V24:X24"/>
    <mergeCell ref="C25:D25"/>
    <mergeCell ref="E25:O25"/>
    <mergeCell ref="P25:U25"/>
    <mergeCell ref="V25:X25"/>
    <mergeCell ref="C22:D22"/>
    <mergeCell ref="E22:O22"/>
    <mergeCell ref="P22:U22"/>
    <mergeCell ref="V22:X22"/>
    <mergeCell ref="C23:D23"/>
    <mergeCell ref="E23:O23"/>
    <mergeCell ref="P23:U23"/>
    <mergeCell ref="V23:X23"/>
    <mergeCell ref="C20:D20"/>
    <mergeCell ref="E20:O20"/>
    <mergeCell ref="P20:U20"/>
    <mergeCell ref="V20:X20"/>
    <mergeCell ref="C21:D21"/>
    <mergeCell ref="E21:O21"/>
    <mergeCell ref="P21:U21"/>
    <mergeCell ref="V21:X21"/>
    <mergeCell ref="C18:D18"/>
    <mergeCell ref="E18:O18"/>
    <mergeCell ref="P18:U18"/>
    <mergeCell ref="V18:X18"/>
    <mergeCell ref="C19:D19"/>
    <mergeCell ref="E19:O19"/>
    <mergeCell ref="P19:U19"/>
    <mergeCell ref="V19:X19"/>
    <mergeCell ref="C16:D16"/>
    <mergeCell ref="E16:O16"/>
    <mergeCell ref="P16:U16"/>
    <mergeCell ref="V16:X16"/>
    <mergeCell ref="A17:B17"/>
    <mergeCell ref="C17:D17"/>
    <mergeCell ref="E17:O17"/>
    <mergeCell ref="P17:U17"/>
    <mergeCell ref="V17:X17"/>
    <mergeCell ref="A14:B14"/>
    <mergeCell ref="C14:D14"/>
    <mergeCell ref="E14:O14"/>
    <mergeCell ref="P14:U14"/>
    <mergeCell ref="V14:X14"/>
    <mergeCell ref="A15:B15"/>
    <mergeCell ref="C15:D15"/>
    <mergeCell ref="E15:O15"/>
    <mergeCell ref="P15:U15"/>
    <mergeCell ref="V15:X15"/>
    <mergeCell ref="A12:B12"/>
    <mergeCell ref="C12:D12"/>
    <mergeCell ref="E12:O12"/>
    <mergeCell ref="P12:U12"/>
    <mergeCell ref="V12:X12"/>
    <mergeCell ref="A13:B13"/>
    <mergeCell ref="C13:D13"/>
    <mergeCell ref="E13:O13"/>
    <mergeCell ref="P13:U13"/>
    <mergeCell ref="V13:X13"/>
    <mergeCell ref="A10:B10"/>
    <mergeCell ref="C10:D10"/>
    <mergeCell ref="E10:O10"/>
    <mergeCell ref="P10:U10"/>
    <mergeCell ref="V10:X10"/>
    <mergeCell ref="A11:B11"/>
    <mergeCell ref="C11:D11"/>
    <mergeCell ref="E11:O11"/>
    <mergeCell ref="P11:U11"/>
    <mergeCell ref="V11:X11"/>
    <mergeCell ref="A1:E1"/>
    <mergeCell ref="A2:E2"/>
    <mergeCell ref="P3:W3"/>
    <mergeCell ref="A8:B9"/>
    <mergeCell ref="C8:D9"/>
    <mergeCell ref="E8:U8"/>
    <mergeCell ref="V8:X9"/>
    <mergeCell ref="E9:O9"/>
    <mergeCell ref="P9:U9"/>
  </mergeCells>
  <printOptions horizontalCentered="1"/>
  <pageMargins left="0.15748031496062992" right="0.15748031496062992" top="0.5905511811023623" bottom="0.3937007874015748" header="0.5118110236220472" footer="0.1968503937007874"/>
  <pageSetup horizontalDpi="600" verticalDpi="600" orientation="portrait" paperSize="9" scale="80" r:id="rId2"/>
  <headerFooter alignWithMargins="0">
    <oddFooter>&amp;C&amp;A</oddFooter>
  </headerFooter>
  <ignoredErrors>
    <ignoredError sqref="V1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="87" zoomScaleNormal="87" zoomScaleSheetLayoutView="90" zoomScalePageLayoutView="0" workbookViewId="0" topLeftCell="A64">
      <selection activeCell="B77" sqref="B77"/>
    </sheetView>
  </sheetViews>
  <sheetFormatPr defaultColWidth="0.9921875" defaultRowHeight="15" customHeight="1"/>
  <cols>
    <col min="1" max="1" width="73.57421875" style="112" customWidth="1"/>
    <col min="2" max="2" width="17.7109375" style="112" customWidth="1"/>
    <col min="3" max="3" width="15.421875" style="324" customWidth="1"/>
    <col min="4" max="4" width="15.8515625" style="112" customWidth="1"/>
    <col min="5" max="5" width="17.00390625" style="112" customWidth="1"/>
    <col min="6" max="62" width="15.7109375" style="112" customWidth="1"/>
    <col min="63" max="16384" width="0.9921875" style="112" customWidth="1"/>
  </cols>
  <sheetData>
    <row r="1" spans="1:6" ht="15" customHeight="1">
      <c r="A1" s="2188" t="s">
        <v>467</v>
      </c>
      <c r="B1" s="2188"/>
      <c r="C1" s="2188"/>
      <c r="D1" s="2188"/>
      <c r="E1" s="2188"/>
      <c r="F1" s="325"/>
    </row>
    <row r="2" spans="1:6" ht="15" customHeight="1">
      <c r="A2" s="2189" t="s">
        <v>468</v>
      </c>
      <c r="B2" s="2189"/>
      <c r="C2" s="2189"/>
      <c r="D2" s="2189"/>
      <c r="E2" s="2189"/>
      <c r="F2" s="326"/>
    </row>
    <row r="3" spans="1:6" ht="15" customHeight="1">
      <c r="A3" s="2188" t="s">
        <v>2</v>
      </c>
      <c r="B3" s="2188"/>
      <c r="C3" s="2188"/>
      <c r="D3" s="2188"/>
      <c r="E3" s="2188"/>
      <c r="F3" s="325"/>
    </row>
    <row r="4" spans="1:11" s="232" customFormat="1" ht="15.75" customHeight="1">
      <c r="A4" s="1772" t="str">
        <f>'Anexo 1 _ BAL ORC'!A4:F4</f>
        <v>Referência: JANEIRO-ABRIL/2015; BIMESTRE: MARÇO-ABRIL/2015</v>
      </c>
      <c r="B4" s="1772"/>
      <c r="C4" s="2187" t="str">
        <f>'Anexo 1 _ BAL ORC'!H3</f>
        <v>Publicação: Diário Oficial do Município nº 96</v>
      </c>
      <c r="D4" s="2187"/>
      <c r="E4" s="2187"/>
      <c r="F4" s="229"/>
      <c r="G4" s="229"/>
      <c r="H4" s="229"/>
      <c r="I4" s="229"/>
      <c r="J4" s="230"/>
      <c r="K4" s="231"/>
    </row>
    <row r="5" spans="1:11" s="232" customFormat="1" ht="12.75">
      <c r="A5" s="172"/>
      <c r="B5" s="172"/>
      <c r="C5" s="2187" t="str">
        <f>'Anexo 1 _ BAL ORC'!H4</f>
        <v>Data: 22/05/2015</v>
      </c>
      <c r="D5" s="2187"/>
      <c r="E5" s="2187"/>
      <c r="F5" s="229"/>
      <c r="G5" s="229"/>
      <c r="H5" s="229"/>
      <c r="I5" s="229"/>
      <c r="J5" s="230"/>
      <c r="K5" s="231"/>
    </row>
    <row r="6" spans="1:5" ht="15" customHeight="1">
      <c r="A6" s="112" t="s">
        <v>691</v>
      </c>
      <c r="B6" s="327"/>
      <c r="E6" s="328" t="s">
        <v>539</v>
      </c>
    </row>
    <row r="7" spans="1:5" ht="21" customHeight="1">
      <c r="A7" s="996" t="s">
        <v>469</v>
      </c>
      <c r="B7" s="2184" t="s">
        <v>103</v>
      </c>
      <c r="C7" s="2185"/>
      <c r="D7" s="2185"/>
      <c r="E7" s="2186"/>
    </row>
    <row r="8" spans="1:5" ht="21" customHeight="1">
      <c r="A8" s="897" t="s">
        <v>3</v>
      </c>
      <c r="B8" s="1269"/>
      <c r="C8" s="1268"/>
      <c r="D8" s="1268"/>
      <c r="E8" s="898"/>
    </row>
    <row r="9" spans="1:5" ht="21" customHeight="1">
      <c r="A9" s="287" t="s">
        <v>770</v>
      </c>
      <c r="B9" s="2175">
        <f>'Anexo 1 _ BAL ORC'!B59</f>
        <v>2701778599</v>
      </c>
      <c r="C9" s="2176"/>
      <c r="D9" s="2176"/>
      <c r="E9" s="2177"/>
    </row>
    <row r="10" spans="1:5" ht="21" customHeight="1">
      <c r="A10" s="287" t="s">
        <v>771</v>
      </c>
      <c r="B10" s="2175">
        <f>'Anexo 1 _ BAL ORC'!C59+'Anexo 1 _ BAL ORC'!C60</f>
        <v>2725629077.27</v>
      </c>
      <c r="C10" s="2176"/>
      <c r="D10" s="2176"/>
      <c r="E10" s="2177"/>
    </row>
    <row r="11" spans="1:5" ht="21" customHeight="1">
      <c r="A11" s="287" t="s">
        <v>762</v>
      </c>
      <c r="B11" s="2175">
        <f>'Anexo 1 _ BAL ORC'!G49</f>
        <v>797075617.77</v>
      </c>
      <c r="C11" s="2176"/>
      <c r="D11" s="2176"/>
      <c r="E11" s="2177"/>
    </row>
    <row r="12" spans="1:5" ht="21" customHeight="1">
      <c r="A12" s="287" t="s">
        <v>763</v>
      </c>
      <c r="B12" s="2175">
        <f>'Anexo 1 _ BAL ORC'!G58</f>
        <v>0</v>
      </c>
      <c r="C12" s="2176"/>
      <c r="D12" s="2176"/>
      <c r="E12" s="2177"/>
    </row>
    <row r="13" spans="1:5" ht="21" customHeight="1">
      <c r="A13" s="329" t="s">
        <v>772</v>
      </c>
      <c r="B13" s="2175">
        <f>'Anexo 1 _ BAL ORC'!C60</f>
        <v>2718008.1399998665</v>
      </c>
      <c r="C13" s="2176"/>
      <c r="D13" s="2176"/>
      <c r="E13" s="2177"/>
    </row>
    <row r="14" spans="1:5" ht="21" customHeight="1">
      <c r="A14" s="897" t="s">
        <v>63</v>
      </c>
      <c r="B14" s="899"/>
      <c r="C14" s="901"/>
      <c r="D14" s="901"/>
      <c r="E14" s="900"/>
    </row>
    <row r="15" spans="1:5" ht="21" customHeight="1">
      <c r="A15" s="287" t="s">
        <v>764</v>
      </c>
      <c r="B15" s="2175">
        <f>'Anexo 1 _ BAL ORC'!B94</f>
        <v>2701778599</v>
      </c>
      <c r="C15" s="2176"/>
      <c r="D15" s="2176"/>
      <c r="E15" s="2177"/>
    </row>
    <row r="16" spans="1:5" ht="21" customHeight="1">
      <c r="A16" s="287" t="s">
        <v>765</v>
      </c>
      <c r="B16" s="2175">
        <f>B17-B15</f>
        <v>23850478.26999998</v>
      </c>
      <c r="C16" s="2176"/>
      <c r="D16" s="2176"/>
      <c r="E16" s="2177"/>
    </row>
    <row r="17" spans="1:5" ht="21" customHeight="1">
      <c r="A17" s="287" t="s">
        <v>766</v>
      </c>
      <c r="B17" s="2175">
        <f>'Anexo 1 _ BAL ORC'!C94</f>
        <v>2725629077.27</v>
      </c>
      <c r="C17" s="2176"/>
      <c r="D17" s="2176"/>
      <c r="E17" s="2177"/>
    </row>
    <row r="18" spans="1:5" ht="21" customHeight="1">
      <c r="A18" s="287" t="s">
        <v>767</v>
      </c>
      <c r="B18" s="2175">
        <f>'Anexo 1 _ BAL ORC'!E84</f>
        <v>1586811697.73</v>
      </c>
      <c r="C18" s="2176"/>
      <c r="D18" s="2176"/>
      <c r="E18" s="2177"/>
    </row>
    <row r="19" spans="1:5" ht="21" customHeight="1">
      <c r="A19" s="287" t="s">
        <v>768</v>
      </c>
      <c r="B19" s="2175">
        <f>'Anexo 1 _ BAL ORC'!H84</f>
        <v>683859078.8000001</v>
      </c>
      <c r="C19" s="2176"/>
      <c r="D19" s="2176"/>
      <c r="E19" s="2177"/>
    </row>
    <row r="20" spans="1:5" ht="21" customHeight="1">
      <c r="A20" s="329" t="s">
        <v>769</v>
      </c>
      <c r="B20" s="2178">
        <f>'Anexo 1 _ BAL ORC'!H93</f>
        <v>113216538.96999991</v>
      </c>
      <c r="C20" s="2179"/>
      <c r="D20" s="2179"/>
      <c r="E20" s="2180"/>
    </row>
    <row r="21" spans="1:5" ht="21" customHeight="1">
      <c r="A21" s="287"/>
      <c r="B21" s="287"/>
      <c r="C21" s="330"/>
      <c r="D21" s="330"/>
      <c r="E21" s="169"/>
    </row>
    <row r="22" spans="1:5" ht="21" customHeight="1">
      <c r="A22" s="997" t="s">
        <v>472</v>
      </c>
      <c r="B22" s="2181" t="s">
        <v>103</v>
      </c>
      <c r="C22" s="2182"/>
      <c r="D22" s="2182"/>
      <c r="E22" s="2183"/>
    </row>
    <row r="23" spans="1:5" ht="21" customHeight="1">
      <c r="A23" s="331" t="s">
        <v>470</v>
      </c>
      <c r="B23" s="2190">
        <f>'Anexo 2 _ DP FUNC'!F137</f>
        <v>1586811697.7299995</v>
      </c>
      <c r="C23" s="2191"/>
      <c r="D23" s="2191"/>
      <c r="E23" s="2192"/>
    </row>
    <row r="24" spans="1:5" ht="21" customHeight="1">
      <c r="A24" s="332" t="s">
        <v>471</v>
      </c>
      <c r="B24" s="2198">
        <f>'Anexo 2 _ DP FUNC'!J137</f>
        <v>683859078.8000001</v>
      </c>
      <c r="C24" s="2199"/>
      <c r="D24" s="2199"/>
      <c r="E24" s="2200"/>
    </row>
    <row r="25" spans="1:5" ht="21" customHeight="1">
      <c r="A25" s="287"/>
      <c r="B25" s="287"/>
      <c r="C25" s="333"/>
      <c r="D25" s="330"/>
      <c r="E25" s="334"/>
    </row>
    <row r="26" spans="1:5" ht="21" customHeight="1">
      <c r="A26" s="996" t="s">
        <v>473</v>
      </c>
      <c r="B26" s="2193"/>
      <c r="C26" s="2193"/>
      <c r="D26" s="2181" t="s">
        <v>722</v>
      </c>
      <c r="E26" s="2194"/>
    </row>
    <row r="27" spans="1:5" ht="21" customHeight="1">
      <c r="A27" s="307" t="s">
        <v>474</v>
      </c>
      <c r="B27" s="2195"/>
      <c r="C27" s="2195"/>
      <c r="D27" s="2196">
        <f>'Anexo 3 _ RCL'!P35</f>
        <v>2141629271.5999997</v>
      </c>
      <c r="E27" s="2197"/>
    </row>
    <row r="28" spans="1:5" ht="21" customHeight="1">
      <c r="A28" s="287"/>
      <c r="B28" s="287"/>
      <c r="C28" s="330"/>
      <c r="D28" s="330"/>
      <c r="E28" s="169"/>
    </row>
    <row r="29" spans="1:5" ht="21" customHeight="1">
      <c r="A29" s="997" t="s">
        <v>773</v>
      </c>
      <c r="B29" s="2181" t="s">
        <v>103</v>
      </c>
      <c r="C29" s="2182"/>
      <c r="D29" s="2182"/>
      <c r="E29" s="2183"/>
    </row>
    <row r="30" spans="1:5" s="111" customFormat="1" ht="21" customHeight="1">
      <c r="A30" s="336" t="s">
        <v>475</v>
      </c>
      <c r="B30" s="2201"/>
      <c r="C30" s="2202"/>
      <c r="D30" s="2202"/>
      <c r="E30" s="1633"/>
    </row>
    <row r="31" spans="1:5" ht="21" customHeight="1">
      <c r="A31" s="331" t="s">
        <v>774</v>
      </c>
      <c r="B31" s="2169"/>
      <c r="C31" s="2170"/>
      <c r="D31" s="2170"/>
      <c r="E31" s="2171"/>
    </row>
    <row r="32" spans="1:5" ht="21" customHeight="1">
      <c r="A32" s="331" t="s">
        <v>775</v>
      </c>
      <c r="B32" s="2169"/>
      <c r="C32" s="2170"/>
      <c r="D32" s="2170"/>
      <c r="E32" s="2171"/>
    </row>
    <row r="33" spans="1:5" ht="21" customHeight="1">
      <c r="A33" s="331" t="s">
        <v>776</v>
      </c>
      <c r="B33" s="2203"/>
      <c r="C33" s="2204"/>
      <c r="D33" s="2204"/>
      <c r="E33" s="2205"/>
    </row>
    <row r="34" spans="1:5" ht="21" customHeight="1">
      <c r="A34" s="338" t="s">
        <v>476</v>
      </c>
      <c r="B34" s="2203"/>
      <c r="C34" s="2206"/>
      <c r="D34" s="2206"/>
      <c r="E34" s="2205"/>
    </row>
    <row r="35" spans="1:5" ht="21" customHeight="1">
      <c r="A35" s="331" t="s">
        <v>777</v>
      </c>
      <c r="B35" s="2169">
        <f>'Anexo 4 _ PREVID '!D38</f>
        <v>58162034.449999996</v>
      </c>
      <c r="C35" s="2170"/>
      <c r="D35" s="2170"/>
      <c r="E35" s="2171"/>
    </row>
    <row r="36" spans="1:5" ht="21" customHeight="1">
      <c r="A36" s="331" t="s">
        <v>778</v>
      </c>
      <c r="B36" s="2169">
        <f>'Anexo 4 _ PREVID '!G60</f>
        <v>61627477.800000004</v>
      </c>
      <c r="C36" s="2170"/>
      <c r="D36" s="2170"/>
      <c r="E36" s="2171"/>
    </row>
    <row r="37" spans="1:5" ht="21" customHeight="1">
      <c r="A37" s="332" t="s">
        <v>779</v>
      </c>
      <c r="B37" s="2172">
        <f>B35-B36</f>
        <v>-3465443.350000009</v>
      </c>
      <c r="C37" s="2173"/>
      <c r="D37" s="2173"/>
      <c r="E37" s="2174"/>
    </row>
    <row r="38" spans="1:5" ht="21" customHeight="1">
      <c r="A38" s="169"/>
      <c r="B38" s="169"/>
      <c r="C38" s="337"/>
      <c r="D38" s="169"/>
      <c r="E38" s="339"/>
    </row>
    <row r="39" spans="1:5" ht="39" customHeight="1">
      <c r="A39" s="2207" t="s">
        <v>477</v>
      </c>
      <c r="B39" s="998" t="s">
        <v>780</v>
      </c>
      <c r="C39" s="998" t="s">
        <v>792</v>
      </c>
      <c r="D39" s="2208" t="s">
        <v>478</v>
      </c>
      <c r="E39" s="2209"/>
    </row>
    <row r="40" spans="1:5" ht="29.25" customHeight="1">
      <c r="A40" s="2207"/>
      <c r="B40" s="999" t="s">
        <v>105</v>
      </c>
      <c r="C40" s="1000" t="s">
        <v>106</v>
      </c>
      <c r="D40" s="2210" t="s">
        <v>107</v>
      </c>
      <c r="E40" s="2211"/>
    </row>
    <row r="41" spans="1:5" ht="21" customHeight="1">
      <c r="A41" s="335" t="s">
        <v>479</v>
      </c>
      <c r="B41" s="340">
        <f>'Anexo 5 _ RES NOM'!F28</f>
        <v>178316310</v>
      </c>
      <c r="C41" s="341">
        <f>'Anexo 5 _ RES NOM'!E24</f>
        <v>133652463.30999997</v>
      </c>
      <c r="D41" s="2212">
        <f>(C41/B41)*100</f>
        <v>74.95246133682329</v>
      </c>
      <c r="E41" s="2213"/>
    </row>
    <row r="42" spans="1:5" ht="21" customHeight="1">
      <c r="A42" s="329" t="s">
        <v>480</v>
      </c>
      <c r="B42" s="342">
        <f>'Anexo 6 _ RES PRIM'!N67</f>
        <v>-92659180</v>
      </c>
      <c r="C42" s="343">
        <f>'Anexo 6 _ RES PRIM'!E61</f>
        <v>96590885.8499999</v>
      </c>
      <c r="D42" s="2214">
        <f>(C42/B42)*100</f>
        <v>-104.24319085275728</v>
      </c>
      <c r="E42" s="2215"/>
    </row>
    <row r="43" spans="1:5" ht="21" customHeight="1">
      <c r="A43" s="169"/>
      <c r="B43" s="169"/>
      <c r="C43" s="337"/>
      <c r="D43" s="169"/>
      <c r="E43" s="169"/>
    </row>
    <row r="44" spans="1:5" ht="33" customHeight="1">
      <c r="A44" s="997" t="s">
        <v>785</v>
      </c>
      <c r="B44" s="1001" t="s">
        <v>481</v>
      </c>
      <c r="C44" s="1002" t="s">
        <v>794</v>
      </c>
      <c r="D44" s="1002" t="s">
        <v>793</v>
      </c>
      <c r="E44" s="1003" t="s">
        <v>795</v>
      </c>
    </row>
    <row r="45" spans="1:5" s="124" customFormat="1" ht="21" customHeight="1">
      <c r="A45" s="336" t="s">
        <v>482</v>
      </c>
      <c r="B45" s="595">
        <f>B46+B47</f>
        <v>529029420.9</v>
      </c>
      <c r="C45" s="595">
        <f>C46+C47</f>
        <v>283565.37</v>
      </c>
      <c r="D45" s="595">
        <f>D46+D47</f>
        <v>89726308.35999998</v>
      </c>
      <c r="E45" s="931">
        <f>E46+E47</f>
        <v>439019547.16999996</v>
      </c>
    </row>
    <row r="46" spans="1:5" ht="21" customHeight="1">
      <c r="A46" s="331" t="s">
        <v>781</v>
      </c>
      <c r="B46" s="344">
        <f>'Anexo 7 _  RP'!B60+'Anexo 7 _  RP'!C60</f>
        <v>529029420.9</v>
      </c>
      <c r="C46" s="344">
        <f>'Anexo 7 _  RP'!E60</f>
        <v>283565.37</v>
      </c>
      <c r="D46" s="344">
        <f>'Anexo 7 _  RP'!D60</f>
        <v>89726308.35999998</v>
      </c>
      <c r="E46" s="932">
        <f>B46-C46-D46</f>
        <v>439019547.16999996</v>
      </c>
    </row>
    <row r="47" spans="1:5" ht="21" customHeight="1">
      <c r="A47" s="331" t="s">
        <v>782</v>
      </c>
      <c r="B47" s="344"/>
      <c r="C47" s="344"/>
      <c r="D47" s="344"/>
      <c r="E47" s="932">
        <f>B47-C47-D47</f>
        <v>0</v>
      </c>
    </row>
    <row r="48" spans="1:5" s="124" customFormat="1" ht="21" customHeight="1">
      <c r="A48" s="336" t="s">
        <v>483</v>
      </c>
      <c r="B48" s="595">
        <f>B49+B50</f>
        <v>237765941.81</v>
      </c>
      <c r="C48" s="595">
        <f>C49+C50</f>
        <v>7984481.78</v>
      </c>
      <c r="D48" s="595">
        <f>D49+D50</f>
        <v>35595030.519999996</v>
      </c>
      <c r="E48" s="931">
        <f>E49+E50</f>
        <v>194186429.51</v>
      </c>
    </row>
    <row r="49" spans="1:5" ht="21" customHeight="1">
      <c r="A49" s="331" t="s">
        <v>781</v>
      </c>
      <c r="B49" s="344">
        <f>'Anexo 7 _  RP'!G60+'Anexo 7 _  RP'!H60</f>
        <v>237765941.81</v>
      </c>
      <c r="C49" s="344">
        <f>'Anexo 7 _  RP'!K60</f>
        <v>7984481.78</v>
      </c>
      <c r="D49" s="344">
        <f>'Anexo 7 _  RP'!J60</f>
        <v>35595030.519999996</v>
      </c>
      <c r="E49" s="932">
        <f>B49-C49-D49</f>
        <v>194186429.51</v>
      </c>
    </row>
    <row r="50" spans="1:5" ht="21" customHeight="1">
      <c r="A50" s="331" t="s">
        <v>782</v>
      </c>
      <c r="B50" s="344"/>
      <c r="C50" s="344"/>
      <c r="D50" s="344"/>
      <c r="E50" s="932">
        <f>B50-C50-D50</f>
        <v>0</v>
      </c>
    </row>
    <row r="51" spans="1:5" ht="21" customHeight="1">
      <c r="A51" s="346" t="s">
        <v>397</v>
      </c>
      <c r="B51" s="347">
        <f>B45+B48</f>
        <v>766795362.71</v>
      </c>
      <c r="C51" s="347">
        <f>C45+C48</f>
        <v>8268047.15</v>
      </c>
      <c r="D51" s="348">
        <f>D45+D48</f>
        <v>125321338.87999998</v>
      </c>
      <c r="E51" s="933">
        <f>E45+E48</f>
        <v>633205976.68</v>
      </c>
    </row>
    <row r="52" spans="1:5" ht="21" customHeight="1">
      <c r="A52" s="2216"/>
      <c r="B52" s="2216"/>
      <c r="C52" s="337"/>
      <c r="D52" s="349"/>
      <c r="E52" s="349"/>
    </row>
    <row r="53" spans="1:6" ht="15" customHeight="1">
      <c r="A53" s="2188" t="s">
        <v>467</v>
      </c>
      <c r="B53" s="2188"/>
      <c r="C53" s="2188"/>
      <c r="D53" s="2188"/>
      <c r="E53" s="2188"/>
      <c r="F53" s="325"/>
    </row>
    <row r="54" spans="1:6" ht="15" customHeight="1">
      <c r="A54" s="2189" t="s">
        <v>468</v>
      </c>
      <c r="B54" s="2189"/>
      <c r="C54" s="2189"/>
      <c r="D54" s="2189"/>
      <c r="E54" s="2189"/>
      <c r="F54" s="326"/>
    </row>
    <row r="55" spans="1:6" ht="15" customHeight="1">
      <c r="A55" s="2188" t="s">
        <v>2</v>
      </c>
      <c r="B55" s="2188"/>
      <c r="C55" s="2188"/>
      <c r="D55" s="2188"/>
      <c r="E55" s="2188"/>
      <c r="F55" s="325"/>
    </row>
    <row r="56" spans="1:11" s="232" customFormat="1" ht="15.75" customHeight="1">
      <c r="A56" s="1577" t="str">
        <f>A4</f>
        <v>Referência: JANEIRO-ABRIL/2015; BIMESTRE: MARÇO-ABRIL/2015</v>
      </c>
      <c r="B56" s="1577"/>
      <c r="C56" s="1577"/>
      <c r="D56" s="1577"/>
      <c r="E56" s="1577"/>
      <c r="F56" s="229"/>
      <c r="G56" s="229"/>
      <c r="H56" s="229"/>
      <c r="I56" s="229"/>
      <c r="J56" s="230"/>
      <c r="K56" s="231"/>
    </row>
    <row r="57" spans="1:6" ht="15" customHeight="1">
      <c r="A57" s="2217"/>
      <c r="B57" s="2217"/>
      <c r="C57" s="2217"/>
      <c r="D57" s="2217"/>
      <c r="E57" s="2217"/>
      <c r="F57" s="325"/>
    </row>
    <row r="58" spans="1:5" ht="15" customHeight="1">
      <c r="A58" s="168"/>
      <c r="B58" s="630"/>
      <c r="C58" s="2221" t="str">
        <f>C4</f>
        <v>Publicação: Diário Oficial do Município nº 96</v>
      </c>
      <c r="D58" s="2221"/>
      <c r="E58" s="2221"/>
    </row>
    <row r="59" spans="1:5" ht="15" customHeight="1">
      <c r="A59" s="112" t="s">
        <v>691</v>
      </c>
      <c r="B59" s="631"/>
      <c r="C59" s="1066" t="str">
        <f>C5</f>
        <v>Data: 22/05/2015</v>
      </c>
      <c r="D59" s="169"/>
      <c r="E59" s="617" t="s">
        <v>540</v>
      </c>
    </row>
    <row r="60" spans="1:5" ht="15" customHeight="1">
      <c r="A60" s="2218" t="s">
        <v>921</v>
      </c>
      <c r="B60" s="1004" t="s">
        <v>484</v>
      </c>
      <c r="C60" s="2181" t="s">
        <v>485</v>
      </c>
      <c r="D60" s="2181"/>
      <c r="E60" s="2194"/>
    </row>
    <row r="61" spans="1:5" ht="25.5" customHeight="1">
      <c r="A61" s="2218"/>
      <c r="B61" s="1005" t="s">
        <v>486</v>
      </c>
      <c r="C61" s="1006" t="s">
        <v>523</v>
      </c>
      <c r="D61" s="2181" t="s">
        <v>783</v>
      </c>
      <c r="E61" s="2194"/>
    </row>
    <row r="62" spans="1:5" ht="21" customHeight="1">
      <c r="A62" s="331" t="s">
        <v>784</v>
      </c>
      <c r="B62" s="345">
        <f>'Anexo 8 _ ENSINO'!E159</f>
        <v>137396694.878</v>
      </c>
      <c r="C62" s="350" t="s">
        <v>487</v>
      </c>
      <c r="D62" s="2219">
        <f>'Anexo 8 _ ENSINO'!E160</f>
        <v>27.165256720639157</v>
      </c>
      <c r="E62" s="2220"/>
    </row>
    <row r="63" spans="1:5" ht="21" customHeight="1">
      <c r="A63" s="331" t="s">
        <v>819</v>
      </c>
      <c r="B63" s="345">
        <f>'Anexo 8 _ ENSINO'!F140</f>
        <v>120389667.77</v>
      </c>
      <c r="C63" s="350">
        <v>0.6</v>
      </c>
      <c r="D63" s="2229">
        <f>B63/'Anexo 8 _ ENSINO'!F147*100</f>
        <v>91.25456571183189</v>
      </c>
      <c r="E63" s="2230"/>
    </row>
    <row r="64" spans="1:5" ht="21" customHeight="1">
      <c r="A64" s="287" t="s">
        <v>820</v>
      </c>
      <c r="B64" s="777">
        <f>'Anexo 8 _ ENSINO'!F100</f>
        <v>79281582.24</v>
      </c>
      <c r="C64" s="778">
        <v>0.6</v>
      </c>
      <c r="D64" s="2229">
        <f>B64/'Anexo 8 _ ENSINO'!D83*100</f>
        <v>56.18722873093282</v>
      </c>
      <c r="E64" s="2230"/>
    </row>
    <row r="65" spans="1:5" ht="21" customHeight="1">
      <c r="A65" s="774" t="s">
        <v>821</v>
      </c>
      <c r="B65" s="775">
        <f>'Anexo 8 _ ENSINO'!E152</f>
        <v>6148115.44</v>
      </c>
      <c r="C65" s="776">
        <v>0.1</v>
      </c>
      <c r="D65" s="2231">
        <f>B65/'Anexo 8 _ ENSINO'!D85*100</f>
        <v>7.014314123634686</v>
      </c>
      <c r="E65" s="2232"/>
    </row>
    <row r="66" spans="1:5" ht="15" customHeight="1">
      <c r="A66" s="287"/>
      <c r="B66" s="287"/>
      <c r="C66" s="351"/>
      <c r="D66" s="352"/>
      <c r="E66" s="352"/>
    </row>
    <row r="67" spans="1:5" s="247" customFormat="1" ht="21" customHeight="1">
      <c r="A67" s="1007" t="s">
        <v>488</v>
      </c>
      <c r="B67" s="2222" t="s">
        <v>489</v>
      </c>
      <c r="C67" s="2222"/>
      <c r="D67" s="2223" t="s">
        <v>490</v>
      </c>
      <c r="E67" s="2224"/>
    </row>
    <row r="68" spans="1:5" s="247" customFormat="1" ht="21" customHeight="1">
      <c r="A68" s="353" t="s">
        <v>491</v>
      </c>
      <c r="B68" s="2227"/>
      <c r="C68" s="2228"/>
      <c r="D68" s="2227"/>
      <c r="E68" s="2235"/>
    </row>
    <row r="69" spans="1:5" s="247" customFormat="1" ht="21" customHeight="1">
      <c r="A69" s="355" t="s">
        <v>492</v>
      </c>
      <c r="B69" s="2233"/>
      <c r="C69" s="2234"/>
      <c r="D69" s="2225"/>
      <c r="E69" s="2226"/>
    </row>
    <row r="70" spans="1:5" s="247" customFormat="1" ht="21" customHeight="1">
      <c r="A70" s="356"/>
      <c r="B70" s="356"/>
      <c r="C70" s="357"/>
      <c r="D70" s="356"/>
      <c r="E70" s="356"/>
    </row>
    <row r="71" spans="1:5" s="247" customFormat="1" ht="21" customHeight="1">
      <c r="A71" s="1008" t="s">
        <v>493</v>
      </c>
      <c r="B71" s="1009" t="s">
        <v>796</v>
      </c>
      <c r="C71" s="1010" t="s">
        <v>494</v>
      </c>
      <c r="D71" s="1009" t="s">
        <v>495</v>
      </c>
      <c r="E71" s="1011" t="s">
        <v>496</v>
      </c>
    </row>
    <row r="72" spans="1:5" s="247" customFormat="1" ht="21" customHeight="1">
      <c r="A72" s="620" t="s">
        <v>475</v>
      </c>
      <c r="B72" s="359"/>
      <c r="C72" s="360"/>
      <c r="D72" s="354"/>
      <c r="E72" s="934"/>
    </row>
    <row r="73" spans="1:5" s="247" customFormat="1" ht="21" customHeight="1">
      <c r="A73" s="358" t="s">
        <v>497</v>
      </c>
      <c r="B73" s="362"/>
      <c r="C73" s="363"/>
      <c r="D73" s="361"/>
      <c r="E73" s="934"/>
    </row>
    <row r="74" spans="1:5" s="247" customFormat="1" ht="21" customHeight="1">
      <c r="A74" s="358" t="s">
        <v>498</v>
      </c>
      <c r="B74" s="364"/>
      <c r="C74" s="363"/>
      <c r="D74" s="361"/>
      <c r="E74" s="934"/>
    </row>
    <row r="75" spans="1:5" s="246" customFormat="1" ht="21" customHeight="1">
      <c r="A75" s="620" t="s">
        <v>786</v>
      </c>
      <c r="B75" s="621">
        <f>B73-B74</f>
        <v>0</v>
      </c>
      <c r="C75" s="621">
        <f>C73-C74</f>
        <v>0</v>
      </c>
      <c r="D75" s="622">
        <f>D73-D74</f>
        <v>0</v>
      </c>
      <c r="E75" s="935">
        <f>E73-E74</f>
        <v>0</v>
      </c>
    </row>
    <row r="76" spans="1:5" s="247" customFormat="1" ht="21" customHeight="1">
      <c r="A76" s="620" t="s">
        <v>476</v>
      </c>
      <c r="B76" s="364"/>
      <c r="C76" s="363"/>
      <c r="D76" s="361"/>
      <c r="E76" s="934"/>
    </row>
    <row r="77" spans="1:5" s="247" customFormat="1" ht="21" customHeight="1">
      <c r="A77" s="358" t="s">
        <v>499</v>
      </c>
      <c r="B77" s="365">
        <f>'Anexo 4 _ PREVID '!D38</f>
        <v>58162034.449999996</v>
      </c>
      <c r="C77" s="365"/>
      <c r="D77" s="366"/>
      <c r="E77" s="936"/>
    </row>
    <row r="78" spans="1:5" s="247" customFormat="1" ht="21" customHeight="1">
      <c r="A78" s="358" t="s">
        <v>500</v>
      </c>
      <c r="B78" s="365">
        <f>'Anexo 4 _ PREVID '!G60+'Anexo 4 _ PREVID '!I60</f>
        <v>61627477.800000004</v>
      </c>
      <c r="C78" s="365"/>
      <c r="D78" s="366"/>
      <c r="E78" s="936"/>
    </row>
    <row r="79" spans="1:5" s="246" customFormat="1" ht="21" customHeight="1">
      <c r="A79" s="620" t="s">
        <v>787</v>
      </c>
      <c r="B79" s="623">
        <f>B77-B78</f>
        <v>-3465443.350000009</v>
      </c>
      <c r="C79" s="623">
        <f>C77-C78</f>
        <v>0</v>
      </c>
      <c r="D79" s="624">
        <f>D77-D78</f>
        <v>0</v>
      </c>
      <c r="E79" s="937">
        <f>E77-E78</f>
        <v>0</v>
      </c>
    </row>
    <row r="80" spans="1:5" s="247" customFormat="1" ht="15" customHeight="1">
      <c r="A80" s="367"/>
      <c r="B80" s="902"/>
      <c r="C80" s="368"/>
      <c r="D80" s="902"/>
      <c r="E80" s="938"/>
    </row>
    <row r="81" spans="1:5" s="247" customFormat="1" ht="21" customHeight="1">
      <c r="A81" s="1008" t="s">
        <v>501</v>
      </c>
      <c r="B81" s="2222" t="s">
        <v>489</v>
      </c>
      <c r="C81" s="2222"/>
      <c r="D81" s="2223" t="s">
        <v>490</v>
      </c>
      <c r="E81" s="2224"/>
    </row>
    <row r="82" spans="1:5" s="247" customFormat="1" ht="21" customHeight="1">
      <c r="A82" s="358" t="s">
        <v>502</v>
      </c>
      <c r="B82" s="2227"/>
      <c r="C82" s="2228"/>
      <c r="D82" s="2227"/>
      <c r="E82" s="2235"/>
    </row>
    <row r="83" spans="1:5" s="247" customFormat="1" ht="21" customHeight="1">
      <c r="A83" s="355" t="s">
        <v>503</v>
      </c>
      <c r="B83" s="2225"/>
      <c r="C83" s="2247"/>
      <c r="D83" s="2225"/>
      <c r="E83" s="2226"/>
    </row>
    <row r="84" spans="1:5" s="247" customFormat="1" ht="21" customHeight="1">
      <c r="A84" s="369"/>
      <c r="B84" s="367"/>
      <c r="C84" s="478"/>
      <c r="D84" s="368"/>
      <c r="E84" s="479"/>
    </row>
    <row r="85" spans="1:5" s="247" customFormat="1" ht="21" customHeight="1">
      <c r="A85" s="2236" t="s">
        <v>790</v>
      </c>
      <c r="B85" s="2238" t="s">
        <v>489</v>
      </c>
      <c r="C85" s="2239"/>
      <c r="D85" s="2223" t="s">
        <v>788</v>
      </c>
      <c r="E85" s="2224"/>
    </row>
    <row r="86" spans="1:5" s="247" customFormat="1" ht="30" customHeight="1">
      <c r="A86" s="2237"/>
      <c r="B86" s="2240"/>
      <c r="C86" s="2241"/>
      <c r="D86" s="1012" t="s">
        <v>789</v>
      </c>
      <c r="E86" s="1013" t="s">
        <v>783</v>
      </c>
    </row>
    <row r="87" spans="1:5" s="247" customFormat="1" ht="21" customHeight="1">
      <c r="A87" s="904" t="s">
        <v>791</v>
      </c>
      <c r="B87" s="2242">
        <f>'Anexo 12 _ SAÚDE '!G84+'Anexo 12 _ SAÚDE '!I84</f>
        <v>126158872.25</v>
      </c>
      <c r="C87" s="2243"/>
      <c r="D87" s="939">
        <v>15</v>
      </c>
      <c r="E87" s="939">
        <f>'Anexo 12 _ SAÚDE '!H86</f>
        <v>24.943381318602036</v>
      </c>
    </row>
    <row r="88" spans="1:5" s="247" customFormat="1" ht="21" customHeight="1">
      <c r="A88" s="369"/>
      <c r="B88" s="367"/>
      <c r="C88" s="903"/>
      <c r="D88" s="367"/>
      <c r="E88" s="367"/>
    </row>
    <row r="89" spans="1:5" s="247" customFormat="1" ht="21" customHeight="1">
      <c r="A89" s="1014" t="s">
        <v>504</v>
      </c>
      <c r="B89" s="2223" t="s">
        <v>505</v>
      </c>
      <c r="C89" s="2223"/>
      <c r="D89" s="2223"/>
      <c r="E89" s="2224"/>
    </row>
    <row r="90" spans="1:5" s="247" customFormat="1" ht="21" customHeight="1">
      <c r="A90" s="370" t="s">
        <v>506</v>
      </c>
      <c r="B90" s="2244"/>
      <c r="C90" s="2245"/>
      <c r="D90" s="2245"/>
      <c r="E90" s="2246"/>
    </row>
    <row r="91" spans="1:4" ht="18.75" customHeight="1">
      <c r="A91" s="237" t="s">
        <v>89</v>
      </c>
      <c r="C91" s="2216"/>
      <c r="D91" s="2216"/>
    </row>
    <row r="92" spans="1:5" s="236" customFormat="1" ht="15" customHeight="1">
      <c r="A92" s="228"/>
      <c r="B92" s="318"/>
      <c r="C92" s="234"/>
      <c r="D92" s="234"/>
      <c r="E92" s="318"/>
    </row>
    <row r="93" spans="1:5" s="236" customFormat="1" ht="15" customHeight="1">
      <c r="A93" s="477" t="str">
        <f>'Anexo 6 _ RES PRIM'!A69</f>
        <v>  São Luís, 22 de Maio de 2015</v>
      </c>
      <c r="B93" s="318"/>
      <c r="C93" s="234"/>
      <c r="D93" s="234"/>
      <c r="E93" s="318"/>
    </row>
    <row r="94" spans="1:5" s="236" customFormat="1" ht="15" customHeight="1">
      <c r="A94" s="228"/>
      <c r="B94" s="318"/>
      <c r="C94" s="234"/>
      <c r="D94" s="234"/>
      <c r="E94" s="318"/>
    </row>
    <row r="95" spans="1:5" s="236" customFormat="1" ht="12.75" customHeight="1">
      <c r="A95" s="477"/>
      <c r="B95" s="318"/>
      <c r="C95" s="318"/>
      <c r="D95" s="318"/>
      <c r="E95" s="318"/>
    </row>
    <row r="96" spans="1:5" s="236" customFormat="1" ht="12.75" customHeight="1">
      <c r="A96" s="323"/>
      <c r="B96" s="318"/>
      <c r="C96" s="318"/>
      <c r="D96" s="318"/>
      <c r="E96" s="318"/>
    </row>
    <row r="97" spans="1:5" s="236" customFormat="1" ht="12.75" customHeight="1">
      <c r="A97" s="323"/>
      <c r="B97" s="318"/>
      <c r="C97" s="318"/>
      <c r="D97" s="318"/>
      <c r="E97" s="318"/>
    </row>
    <row r="98" spans="1:5" s="236" customFormat="1" ht="12.75" customHeight="1">
      <c r="A98" s="323"/>
      <c r="B98" s="318"/>
      <c r="C98" s="318"/>
      <c r="D98" s="318"/>
      <c r="E98" s="318"/>
    </row>
    <row r="99" spans="1:5" s="236" customFormat="1" ht="12.75" customHeight="1">
      <c r="A99" s="323"/>
      <c r="B99" s="318"/>
      <c r="C99" s="318"/>
      <c r="D99" s="318"/>
      <c r="E99" s="318"/>
    </row>
    <row r="100" spans="1:5" s="236" customFormat="1" ht="12.75" customHeight="1">
      <c r="A100" s="323"/>
      <c r="B100" s="318"/>
      <c r="C100" s="318"/>
      <c r="D100" s="318"/>
      <c r="E100" s="318"/>
    </row>
    <row r="101" spans="1:5" s="236" customFormat="1" ht="12.75" customHeight="1">
      <c r="A101" s="323"/>
      <c r="B101" s="318"/>
      <c r="C101" s="318"/>
      <c r="D101" s="318"/>
      <c r="E101" s="318"/>
    </row>
    <row r="102" spans="1:5" s="236" customFormat="1" ht="12.75" customHeight="1">
      <c r="A102" s="239"/>
      <c r="B102" s="240"/>
      <c r="C102" s="109"/>
      <c r="D102" s="109"/>
      <c r="E102" s="109"/>
    </row>
    <row r="111" ht="10.5" customHeight="1"/>
    <row r="113" ht="14.25" customHeight="1"/>
    <row r="114" ht="147.7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.5" customHeight="1" hidden="1"/>
    <row r="132" ht="15" customHeight="1" hidden="1"/>
    <row r="133" ht="15" customHeight="1" hidden="1"/>
    <row r="134" ht="15" customHeight="1" hidden="1"/>
  </sheetData>
  <sheetProtection/>
  <mergeCells count="72">
    <mergeCell ref="A85:A86"/>
    <mergeCell ref="B89:E89"/>
    <mergeCell ref="B85:C86"/>
    <mergeCell ref="B87:C87"/>
    <mergeCell ref="D82:E82"/>
    <mergeCell ref="B90:E90"/>
    <mergeCell ref="B83:C83"/>
    <mergeCell ref="D83:E83"/>
    <mergeCell ref="D63:E63"/>
    <mergeCell ref="D64:E64"/>
    <mergeCell ref="D65:E65"/>
    <mergeCell ref="B68:C68"/>
    <mergeCell ref="B69:C69"/>
    <mergeCell ref="D68:E68"/>
    <mergeCell ref="D62:E62"/>
    <mergeCell ref="C58:E58"/>
    <mergeCell ref="C91:D91"/>
    <mergeCell ref="B67:C67"/>
    <mergeCell ref="D67:E67"/>
    <mergeCell ref="B81:C81"/>
    <mergeCell ref="D81:E81"/>
    <mergeCell ref="D85:E85"/>
    <mergeCell ref="D69:E69"/>
    <mergeCell ref="B82:C82"/>
    <mergeCell ref="A53:E53"/>
    <mergeCell ref="A54:E54"/>
    <mergeCell ref="A55:E55"/>
    <mergeCell ref="A56:E56"/>
    <mergeCell ref="A57:E57"/>
    <mergeCell ref="A60:A61"/>
    <mergeCell ref="C60:E60"/>
    <mergeCell ref="D61:E61"/>
    <mergeCell ref="A39:A40"/>
    <mergeCell ref="D39:E39"/>
    <mergeCell ref="D40:E40"/>
    <mergeCell ref="D41:E41"/>
    <mergeCell ref="D42:E42"/>
    <mergeCell ref="A52:B52"/>
    <mergeCell ref="B29:E29"/>
    <mergeCell ref="B31:E31"/>
    <mergeCell ref="B30:E30"/>
    <mergeCell ref="B32:E32"/>
    <mergeCell ref="B33:E33"/>
    <mergeCell ref="B34:E34"/>
    <mergeCell ref="B23:E23"/>
    <mergeCell ref="B26:C26"/>
    <mergeCell ref="D26:E26"/>
    <mergeCell ref="B27:C27"/>
    <mergeCell ref="D27:E27"/>
    <mergeCell ref="B24:E24"/>
    <mergeCell ref="A1:E1"/>
    <mergeCell ref="A2:E2"/>
    <mergeCell ref="A3:E3"/>
    <mergeCell ref="C4:E4"/>
    <mergeCell ref="A4:B4"/>
    <mergeCell ref="B9:E9"/>
    <mergeCell ref="B10:E10"/>
    <mergeCell ref="B11:E11"/>
    <mergeCell ref="B12:E12"/>
    <mergeCell ref="B13:E13"/>
    <mergeCell ref="B7:E7"/>
    <mergeCell ref="C5:E5"/>
    <mergeCell ref="B35:E35"/>
    <mergeCell ref="B36:E36"/>
    <mergeCell ref="B37:E37"/>
    <mergeCell ref="B15:E15"/>
    <mergeCell ref="B16:E16"/>
    <mergeCell ref="B17:E17"/>
    <mergeCell ref="B18:E18"/>
    <mergeCell ref="B19:E19"/>
    <mergeCell ref="B20:E20"/>
    <mergeCell ref="B22:E22"/>
  </mergeCells>
  <printOptions horizontalCentered="1"/>
  <pageMargins left="0.5902777777777778" right="0.7875" top="0.7097222222222223" bottom="0.7097222222222223" header="0.5118055555555556" footer="0.5118055555555556"/>
  <pageSetup horizontalDpi="600" verticalDpi="600" orientation="portrait" paperSize="9" scale="64" r:id="rId2"/>
  <rowBreaks count="1" manualBreakCount="1">
    <brk id="52" max="255" man="1"/>
  </rowBreaks>
  <ignoredErrors>
    <ignoredError sqref="E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P261"/>
  <sheetViews>
    <sheetView showGridLines="0" zoomScale="85" zoomScaleNormal="85" zoomScaleSheetLayoutView="90" zoomScalePageLayoutView="0" workbookViewId="0" topLeftCell="D1">
      <selection activeCell="N83" sqref="N83"/>
    </sheetView>
  </sheetViews>
  <sheetFormatPr defaultColWidth="9.140625" defaultRowHeight="12.75"/>
  <cols>
    <col min="1" max="1" width="9.8515625" style="162" customWidth="1"/>
    <col min="2" max="2" width="20.7109375" style="162" customWidth="1"/>
    <col min="3" max="3" width="15.28125" style="162" customWidth="1"/>
    <col min="4" max="4" width="15.421875" style="113" customWidth="1"/>
    <col min="5" max="5" width="15.00390625" style="170" bestFit="1" customWidth="1"/>
    <col min="6" max="6" width="15.57421875" style="113" customWidth="1"/>
    <col min="7" max="7" width="9.421875" style="113" customWidth="1"/>
    <col min="8" max="8" width="16.28125" style="113" customWidth="1"/>
    <col min="9" max="9" width="14.57421875" style="170" customWidth="1"/>
    <col min="10" max="10" width="14.7109375" style="113" customWidth="1"/>
    <col min="11" max="11" width="9.421875" style="113" customWidth="1"/>
    <col min="12" max="12" width="17.00390625" style="113" customWidth="1"/>
    <col min="13" max="13" width="12.8515625" style="113" customWidth="1"/>
    <col min="14" max="14" width="20.8515625" style="113" customWidth="1"/>
    <col min="15" max="15" width="16.140625" style="113" bestFit="1" customWidth="1"/>
    <col min="16" max="16384" width="9.140625" style="112" customWidth="1"/>
  </cols>
  <sheetData>
    <row r="1" spans="1:15" s="114" customFormat="1" ht="12.75" customHeight="1">
      <c r="A1" s="972"/>
      <c r="B1" s="972" t="s">
        <v>93</v>
      </c>
      <c r="C1" s="972"/>
      <c r="D1" s="972"/>
      <c r="E1" s="973"/>
      <c r="F1" s="972"/>
      <c r="G1" s="972"/>
      <c r="H1" s="972"/>
      <c r="I1" s="389"/>
      <c r="J1" s="115"/>
      <c r="K1" s="115"/>
      <c r="L1" s="115"/>
      <c r="M1" s="115"/>
      <c r="N1" s="115"/>
      <c r="O1" s="115"/>
    </row>
    <row r="2" spans="1:15" s="114" customFormat="1" ht="12.75" customHeight="1">
      <c r="A2" s="972"/>
      <c r="B2" s="972" t="s">
        <v>94</v>
      </c>
      <c r="C2" s="972"/>
      <c r="D2" s="972"/>
      <c r="E2" s="973"/>
      <c r="F2" s="972"/>
      <c r="G2" s="972"/>
      <c r="H2" s="972"/>
      <c r="I2" s="389"/>
      <c r="J2" s="115"/>
      <c r="K2" s="115"/>
      <c r="L2" s="115"/>
      <c r="M2" s="115"/>
      <c r="N2" s="115"/>
      <c r="O2" s="115"/>
    </row>
    <row r="3" spans="1:15" s="114" customFormat="1" ht="12.75" customHeight="1">
      <c r="A3" s="972"/>
      <c r="B3" s="972" t="s">
        <v>95</v>
      </c>
      <c r="C3" s="972"/>
      <c r="D3" s="972"/>
      <c r="E3" s="973"/>
      <c r="F3" s="972"/>
      <c r="G3" s="972"/>
      <c r="H3" s="972"/>
      <c r="I3" s="389"/>
      <c r="J3" s="115"/>
      <c r="K3" s="115"/>
      <c r="L3" s="115"/>
      <c r="M3" s="115"/>
      <c r="N3" s="115"/>
      <c r="O3" s="115"/>
    </row>
    <row r="4" spans="1:15" s="114" customFormat="1" ht="12.75" customHeight="1">
      <c r="A4" s="972"/>
      <c r="B4" s="972" t="s">
        <v>96</v>
      </c>
      <c r="C4" s="972"/>
      <c r="D4" s="972"/>
      <c r="E4" s="973"/>
      <c r="F4" s="972"/>
      <c r="G4" s="972"/>
      <c r="H4" s="972"/>
      <c r="I4" s="389"/>
      <c r="J4" s="115"/>
      <c r="K4" s="117" t="str">
        <f>'Anexo 1 _ BAL ORC'!H3</f>
        <v>Publicação: Diário Oficial do Município nº 96</v>
      </c>
      <c r="M4" s="614"/>
      <c r="N4" s="115"/>
      <c r="O4" s="115"/>
    </row>
    <row r="5" spans="1:15" s="119" customFormat="1" ht="15.75" customHeight="1">
      <c r="A5" s="1460" t="str">
        <f>'Anexo 1 _ BAL ORC'!A4:F4</f>
        <v>Referência: JANEIRO-ABRIL/2015; BIMESTRE: MARÇO-ABRIL/2015</v>
      </c>
      <c r="B5" s="1460"/>
      <c r="C5" s="1460"/>
      <c r="D5" s="1460"/>
      <c r="E5" s="1460"/>
      <c r="F5" s="1460"/>
      <c r="G5" s="1311"/>
      <c r="H5" s="1311"/>
      <c r="I5" s="116"/>
      <c r="J5" s="116"/>
      <c r="K5" s="117" t="str">
        <f>'Anexo 1 _ BAL ORC'!H4</f>
        <v>Data: 22/05/2015</v>
      </c>
      <c r="M5" s="118"/>
      <c r="N5" s="396"/>
      <c r="O5" s="397"/>
    </row>
    <row r="6" spans="1:10" ht="11.25" customHeight="1">
      <c r="A6" s="113"/>
      <c r="B6" s="113"/>
      <c r="C6" s="113"/>
      <c r="J6" s="390"/>
    </row>
    <row r="7" spans="1:15" s="122" customFormat="1" ht="12.75">
      <c r="A7" s="398" t="s">
        <v>648</v>
      </c>
      <c r="B7" s="399"/>
      <c r="C7" s="399"/>
      <c r="D7" s="399"/>
      <c r="F7" s="120"/>
      <c r="G7" s="120"/>
      <c r="H7" s="120"/>
      <c r="I7" s="391"/>
      <c r="J7" s="120"/>
      <c r="K7" s="121"/>
      <c r="L7" s="121"/>
      <c r="M7" s="400" t="s">
        <v>539</v>
      </c>
      <c r="N7" s="183"/>
      <c r="O7" s="121"/>
    </row>
    <row r="8" spans="1:15" s="124" customFormat="1" ht="15.75" customHeight="1">
      <c r="A8" s="1461" t="s">
        <v>97</v>
      </c>
      <c r="B8" s="1461"/>
      <c r="C8" s="401" t="s">
        <v>256</v>
      </c>
      <c r="D8" s="402" t="s">
        <v>256</v>
      </c>
      <c r="E8" s="1452" t="s">
        <v>646</v>
      </c>
      <c r="F8" s="1453"/>
      <c r="G8" s="1454"/>
      <c r="H8" s="1452" t="s">
        <v>945</v>
      </c>
      <c r="I8" s="1443" t="s">
        <v>257</v>
      </c>
      <c r="J8" s="1443"/>
      <c r="K8" s="1444"/>
      <c r="L8" s="1445" t="s">
        <v>298</v>
      </c>
      <c r="M8" s="1448" t="s">
        <v>239</v>
      </c>
      <c r="N8" s="403"/>
      <c r="O8" s="130"/>
    </row>
    <row r="9" spans="1:15" s="124" customFormat="1" ht="16.5" customHeight="1">
      <c r="A9" s="1461"/>
      <c r="B9" s="1461"/>
      <c r="C9" s="404"/>
      <c r="D9" s="405"/>
      <c r="E9" s="1455"/>
      <c r="F9" s="1456"/>
      <c r="G9" s="1457"/>
      <c r="H9" s="1458"/>
      <c r="I9" s="1443"/>
      <c r="J9" s="1443"/>
      <c r="K9" s="1444"/>
      <c r="L9" s="1446"/>
      <c r="M9" s="1448"/>
      <c r="N9" s="403"/>
      <c r="O9" s="130"/>
    </row>
    <row r="10" spans="1:15" s="124" customFormat="1" ht="14.25" customHeight="1">
      <c r="A10" s="1461"/>
      <c r="B10" s="1461"/>
      <c r="C10" s="404" t="s">
        <v>258</v>
      </c>
      <c r="D10" s="405" t="s">
        <v>259</v>
      </c>
      <c r="E10" s="878" t="s">
        <v>102</v>
      </c>
      <c r="F10" s="409" t="s">
        <v>103</v>
      </c>
      <c r="G10" s="409" t="s">
        <v>99</v>
      </c>
      <c r="H10" s="1459"/>
      <c r="I10" s="878" t="s">
        <v>102</v>
      </c>
      <c r="J10" s="409" t="s">
        <v>103</v>
      </c>
      <c r="K10" s="409" t="s">
        <v>99</v>
      </c>
      <c r="L10" s="1447"/>
      <c r="M10" s="1448"/>
      <c r="N10" s="130"/>
      <c r="O10" s="130"/>
    </row>
    <row r="11" spans="1:15" s="124" customFormat="1" ht="15" customHeight="1">
      <c r="A11" s="406"/>
      <c r="B11" s="407"/>
      <c r="C11" s="407"/>
      <c r="D11" s="408" t="s">
        <v>105</v>
      </c>
      <c r="E11" s="392"/>
      <c r="F11" s="125" t="s">
        <v>106</v>
      </c>
      <c r="G11" s="125" t="s">
        <v>104</v>
      </c>
      <c r="H11" s="1459"/>
      <c r="I11" s="392"/>
      <c r="J11" s="125" t="s">
        <v>427</v>
      </c>
      <c r="K11" s="1328" t="s">
        <v>946</v>
      </c>
      <c r="L11" s="1328" t="s">
        <v>947</v>
      </c>
      <c r="M11" s="1329" t="s">
        <v>948</v>
      </c>
      <c r="N11" s="130"/>
      <c r="O11" s="130"/>
    </row>
    <row r="12" spans="1:15" ht="15.75" customHeight="1">
      <c r="A12" s="1449" t="s">
        <v>108</v>
      </c>
      <c r="B12" s="1449"/>
      <c r="C12" s="126">
        <f>C13+C17+C20+C31+C35+C41+C46+C57+C62+C70+C75+C91+C98+C100+C103+C108+C113+C117+C119+C123+C127+C131</f>
        <v>2701778599</v>
      </c>
      <c r="D12" s="126">
        <f aca="true" t="shared" si="0" ref="D12:L12">D13+D17+D20+D31+D35+D41+D46+D57+D62+D70+D75+D91+D98+D100+D103+D108+D113+D117+D119+D123+D127+D131</f>
        <v>2656867996.21</v>
      </c>
      <c r="E12" s="126">
        <f t="shared" si="0"/>
        <v>238625999.93</v>
      </c>
      <c r="F12" s="126">
        <f t="shared" si="0"/>
        <v>1518050616.6699996</v>
      </c>
      <c r="G12" s="1349">
        <f>F12/F137*100</f>
        <v>95.6667145094553</v>
      </c>
      <c r="H12" s="126">
        <f t="shared" si="0"/>
        <v>1088155851.85</v>
      </c>
      <c r="I12" s="1327">
        <f t="shared" si="0"/>
        <v>403820167.8299999</v>
      </c>
      <c r="J12" s="126">
        <f t="shared" si="0"/>
        <v>672192037.6</v>
      </c>
      <c r="K12" s="126">
        <f>J12/J137*100</f>
        <v>98.29394073111192</v>
      </c>
      <c r="L12" s="126">
        <f t="shared" si="0"/>
        <v>1984675958.6100001</v>
      </c>
      <c r="M12" s="126">
        <f>M13+M17+M20+M31+M35+M41+M46+M57+M62+M70+M75+M91+M98+M100+M103+M108+M113+M117+M119+M123+M127+M131</f>
        <v>0</v>
      </c>
      <c r="N12" s="129"/>
      <c r="O12" s="417"/>
    </row>
    <row r="13" spans="1:14" s="130" customFormat="1" ht="18" customHeight="1">
      <c r="A13" s="1462" t="s">
        <v>109</v>
      </c>
      <c r="B13" s="1462"/>
      <c r="C13" s="127">
        <f>C16+C14+C15</f>
        <v>83759451</v>
      </c>
      <c r="D13" s="127">
        <f>D14+D15+D16</f>
        <v>83759451</v>
      </c>
      <c r="E13" s="127">
        <f>E16+E14+E15</f>
        <v>0</v>
      </c>
      <c r="F13" s="141">
        <f>F16+F14+F15</f>
        <v>0</v>
      </c>
      <c r="G13" s="1337">
        <f>F13/F137*100</f>
        <v>0</v>
      </c>
      <c r="H13" s="429">
        <f>H16+H14+H15</f>
        <v>83759451</v>
      </c>
      <c r="I13" s="127">
        <f>I16+I14+I15</f>
        <v>0</v>
      </c>
      <c r="J13" s="127">
        <f>J16+J14+J15</f>
        <v>0</v>
      </c>
      <c r="K13" s="1337">
        <f>J13/J137*100</f>
        <v>0</v>
      </c>
      <c r="L13" s="127">
        <f>L16+L14+L15</f>
        <v>83759451</v>
      </c>
      <c r="M13" s="127">
        <f>M16+M14+M15</f>
        <v>0</v>
      </c>
      <c r="N13" s="129"/>
    </row>
    <row r="14" spans="1:15" s="113" customFormat="1" ht="18" customHeight="1">
      <c r="A14" s="1451" t="s">
        <v>110</v>
      </c>
      <c r="B14" s="1451"/>
      <c r="C14" s="131">
        <v>83759451</v>
      </c>
      <c r="D14" s="131">
        <f>C14</f>
        <v>83759451</v>
      </c>
      <c r="E14" s="618">
        <f>F14-'[17]Anexo 2 _ DP FUNC'!F14</f>
        <v>0</v>
      </c>
      <c r="F14" s="513"/>
      <c r="G14" s="1338">
        <f>F14/F137*100</f>
        <v>0</v>
      </c>
      <c r="H14" s="507">
        <f>D14-F14</f>
        <v>83759451</v>
      </c>
      <c r="I14" s="618">
        <f>J14-'[17]Anexo 2 _ DP FUNC'!H14</f>
        <v>0</v>
      </c>
      <c r="J14" s="508"/>
      <c r="K14" s="1338">
        <f>J14/J137*100</f>
        <v>0</v>
      </c>
      <c r="L14" s="131">
        <f>D14-J14</f>
        <v>83759451</v>
      </c>
      <c r="M14" s="427"/>
      <c r="N14" s="129"/>
      <c r="O14" s="417"/>
    </row>
    <row r="15" spans="1:14" s="113" customFormat="1" ht="18" customHeight="1">
      <c r="A15" s="1451" t="s">
        <v>111</v>
      </c>
      <c r="B15" s="1451"/>
      <c r="C15" s="131"/>
      <c r="D15" s="131"/>
      <c r="E15" s="618"/>
      <c r="F15" s="513"/>
      <c r="G15" s="1338">
        <f>F15/F137*100</f>
        <v>0</v>
      </c>
      <c r="H15" s="507">
        <f>D15-F15</f>
        <v>0</v>
      </c>
      <c r="I15" s="618"/>
      <c r="J15" s="508"/>
      <c r="K15" s="1338">
        <f>J15/J137*100</f>
        <v>0</v>
      </c>
      <c r="L15" s="131">
        <f>D15-J15</f>
        <v>0</v>
      </c>
      <c r="M15" s="427"/>
      <c r="N15" s="129"/>
    </row>
    <row r="16" spans="1:14" s="113" customFormat="1" ht="18" customHeight="1">
      <c r="A16" s="1450" t="s">
        <v>112</v>
      </c>
      <c r="B16" s="1450"/>
      <c r="C16" s="134"/>
      <c r="D16" s="131"/>
      <c r="E16" s="618"/>
      <c r="F16" s="1345"/>
      <c r="G16" s="1339">
        <f>F16/F137*100</f>
        <v>0</v>
      </c>
      <c r="H16" s="507">
        <f>D16-F16</f>
        <v>0</v>
      </c>
      <c r="I16" s="618"/>
      <c r="J16" s="509"/>
      <c r="K16" s="1339">
        <f>J16/J137*100</f>
        <v>0</v>
      </c>
      <c r="L16" s="131">
        <f>D16-J16</f>
        <v>0</v>
      </c>
      <c r="M16" s="943"/>
      <c r="N16" s="129"/>
    </row>
    <row r="17" spans="1:15" s="124" customFormat="1" ht="18" customHeight="1">
      <c r="A17" s="1462" t="s">
        <v>113</v>
      </c>
      <c r="B17" s="1462"/>
      <c r="C17" s="127">
        <f>C19+C18</f>
        <v>1514406</v>
      </c>
      <c r="D17" s="127">
        <f>D18+D19</f>
        <v>1514406</v>
      </c>
      <c r="E17" s="1377">
        <f>E18+E19</f>
        <v>52278</v>
      </c>
      <c r="F17" s="141">
        <f>F19+F18</f>
        <v>572721</v>
      </c>
      <c r="G17" s="1337">
        <f>F17/F137*100</f>
        <v>0.03609256226301465</v>
      </c>
      <c r="H17" s="1350">
        <f>H19+H18</f>
        <v>941685</v>
      </c>
      <c r="I17" s="429">
        <f>I18+I19</f>
        <v>224078.9</v>
      </c>
      <c r="J17" s="127">
        <f>J19+J18</f>
        <v>333933.12</v>
      </c>
      <c r="K17" s="1337">
        <f>J17/J137*100</f>
        <v>0.04883069192939111</v>
      </c>
      <c r="L17" s="127">
        <f>L19+L18</f>
        <v>1180472.88</v>
      </c>
      <c r="M17" s="942">
        <f>M18+M19</f>
        <v>0</v>
      </c>
      <c r="N17" s="410"/>
      <c r="O17" s="130"/>
    </row>
    <row r="18" spans="1:14" ht="18" customHeight="1">
      <c r="A18" s="1451" t="s">
        <v>114</v>
      </c>
      <c r="B18" s="1451"/>
      <c r="C18" s="142">
        <v>1514406</v>
      </c>
      <c r="D18" s="551">
        <f>C18</f>
        <v>1514406</v>
      </c>
      <c r="E18" s="618">
        <f>F18-'[17]Anexo 2 _ DP FUNC'!F18</f>
        <v>52278</v>
      </c>
      <c r="F18" s="513">
        <v>572721</v>
      </c>
      <c r="G18" s="1338">
        <f>F18/F137*100</f>
        <v>0.03609256226301465</v>
      </c>
      <c r="H18" s="1342">
        <f>D18-F18</f>
        <v>941685</v>
      </c>
      <c r="I18" s="1348">
        <f>J18-'[17]Anexo 2 _ DP FUNC'!H18</f>
        <v>224078.9</v>
      </c>
      <c r="J18" s="508">
        <v>333933.12</v>
      </c>
      <c r="K18" s="1338">
        <f>J18/J137*100</f>
        <v>0.04883069192939111</v>
      </c>
      <c r="L18" s="131">
        <f>D18-J18</f>
        <v>1180472.88</v>
      </c>
      <c r="M18" s="427"/>
      <c r="N18" s="129"/>
    </row>
    <row r="19" spans="1:14" ht="18" customHeight="1">
      <c r="A19" s="1450" t="s">
        <v>115</v>
      </c>
      <c r="B19" s="1450"/>
      <c r="C19" s="131"/>
      <c r="D19" s="134"/>
      <c r="E19" s="618">
        <v>0</v>
      </c>
      <c r="F19" s="522"/>
      <c r="G19" s="1339">
        <f>F19/F137*100</f>
        <v>0</v>
      </c>
      <c r="H19" s="1343">
        <f>D19-F19</f>
        <v>0</v>
      </c>
      <c r="I19" s="1348">
        <f>J19-'[17]Anexo 2 _ DP FUNC'!H19</f>
        <v>0</v>
      </c>
      <c r="J19" s="509"/>
      <c r="K19" s="1339">
        <f>J19/J137*100</f>
        <v>0</v>
      </c>
      <c r="L19" s="1090">
        <f>D19-J19</f>
        <v>0</v>
      </c>
      <c r="M19" s="943"/>
      <c r="N19" s="129"/>
    </row>
    <row r="20" spans="1:15" s="124" customFormat="1" ht="18" customHeight="1">
      <c r="A20" s="1463" t="s">
        <v>116</v>
      </c>
      <c r="B20" s="1463"/>
      <c r="C20" s="127">
        <f aca="true" t="shared" si="1" ref="C20:L20">SUM(C21:C30)</f>
        <v>396581035</v>
      </c>
      <c r="D20" s="128">
        <f t="shared" si="1"/>
        <v>369072913</v>
      </c>
      <c r="E20" s="127">
        <f>SUM(E21:E30)</f>
        <v>36435253.58999999</v>
      </c>
      <c r="F20" s="128">
        <f t="shared" si="1"/>
        <v>285994244.16999996</v>
      </c>
      <c r="G20" s="1337">
        <f>F20/F137*100</f>
        <v>18.023199890644033</v>
      </c>
      <c r="H20" s="1363">
        <f t="shared" si="1"/>
        <v>32417141.14</v>
      </c>
      <c r="I20" s="1359">
        <f>SUM(I21:I30)</f>
        <v>55133797.099999994</v>
      </c>
      <c r="J20" s="128">
        <f t="shared" si="1"/>
        <v>96588217.79</v>
      </c>
      <c r="K20" s="1337">
        <f>J20/J137*100</f>
        <v>14.123994370227258</v>
      </c>
      <c r="L20" s="128">
        <f t="shared" si="1"/>
        <v>272484695.21000004</v>
      </c>
      <c r="M20" s="942">
        <f>SUM(M21:M30)</f>
        <v>0</v>
      </c>
      <c r="N20" s="410"/>
      <c r="O20" s="130"/>
    </row>
    <row r="21" spans="1:15" ht="18" customHeight="1">
      <c r="A21" s="1451" t="s">
        <v>117</v>
      </c>
      <c r="B21" s="1451"/>
      <c r="C21" s="131">
        <v>46331063</v>
      </c>
      <c r="D21" s="132">
        <v>46367063</v>
      </c>
      <c r="E21" s="618">
        <f>F21-'[17]Anexo 2 _ DP FUNC'!F21</f>
        <v>7182148.550000001</v>
      </c>
      <c r="F21" s="618">
        <v>25869492.89</v>
      </c>
      <c r="G21" s="1338">
        <f>F21/F137*100</f>
        <v>1.6302812064599344</v>
      </c>
      <c r="H21" s="1342">
        <f aca="true" t="shared" si="2" ref="H21:H30">D21-F21</f>
        <v>20497570.11</v>
      </c>
      <c r="I21" s="1341">
        <f>J21-'[17]Anexo 2 _ DP FUNC'!H21</f>
        <v>3933929.76</v>
      </c>
      <c r="J21" s="136">
        <v>6503511.17</v>
      </c>
      <c r="K21" s="1338">
        <f>J21/J137*100</f>
        <v>0.9510016568635777</v>
      </c>
      <c r="L21" s="131">
        <f aca="true" t="shared" si="3" ref="L21:L30">D21-J21</f>
        <v>39863551.83</v>
      </c>
      <c r="M21" s="427"/>
      <c r="N21" s="129"/>
      <c r="O21" s="597"/>
    </row>
    <row r="22" spans="1:15" s="716" customFormat="1" ht="18" customHeight="1">
      <c r="A22" s="1464" t="s">
        <v>111</v>
      </c>
      <c r="B22" s="1464"/>
      <c r="C22" s="710">
        <v>306350947</v>
      </c>
      <c r="D22" s="711">
        <v>284342730</v>
      </c>
      <c r="E22" s="618">
        <f>F22-'[17]Anexo 2 _ DP FUNC'!F22</f>
        <v>26544102.659999996</v>
      </c>
      <c r="F22" s="1333">
        <v>233681201.31</v>
      </c>
      <c r="G22" s="1338">
        <f>F22/F137*100</f>
        <v>14.726460716434769</v>
      </c>
      <c r="H22" s="1342">
        <v>1</v>
      </c>
      <c r="I22" s="1341">
        <f>J22-'[17]Anexo 2 _ DP FUNC'!H22</f>
        <v>42886672.26</v>
      </c>
      <c r="J22" s="712">
        <v>79568422.97</v>
      </c>
      <c r="K22" s="1338">
        <f>J22/J137*100</f>
        <v>11.635207521061574</v>
      </c>
      <c r="L22" s="131">
        <f t="shared" si="3"/>
        <v>204774307.03</v>
      </c>
      <c r="M22" s="944"/>
      <c r="N22" s="713"/>
      <c r="O22" s="714"/>
    </row>
    <row r="23" spans="1:14" ht="18" customHeight="1">
      <c r="A23" s="1451" t="s">
        <v>118</v>
      </c>
      <c r="B23" s="1451"/>
      <c r="C23" s="131">
        <v>3620000</v>
      </c>
      <c r="D23" s="132">
        <f>C23</f>
        <v>3620000</v>
      </c>
      <c r="E23" s="618">
        <f>F23-'[17]Anexo 2 _ DP FUNC'!F23</f>
        <v>0</v>
      </c>
      <c r="F23" s="618">
        <v>1273148.32</v>
      </c>
      <c r="G23" s="1338">
        <f>F23/F137*100</f>
        <v>0.08023310653817917</v>
      </c>
      <c r="H23" s="1342">
        <f t="shared" si="2"/>
        <v>2346851.6799999997</v>
      </c>
      <c r="I23" s="1341">
        <f>J23-'[17]Anexo 2 _ DP FUNC'!H23</f>
        <v>479695.42</v>
      </c>
      <c r="J23" s="136">
        <v>989502.1</v>
      </c>
      <c r="K23" s="1338">
        <f>J23/J137*100</f>
        <v>0.14469386028132084</v>
      </c>
      <c r="L23" s="131">
        <f t="shared" si="3"/>
        <v>2630497.9</v>
      </c>
      <c r="M23" s="427"/>
      <c r="N23" s="129"/>
    </row>
    <row r="24" spans="1:14" ht="18" customHeight="1">
      <c r="A24" s="1451" t="s">
        <v>119</v>
      </c>
      <c r="B24" s="1451"/>
      <c r="C24" s="131"/>
      <c r="D24" s="132"/>
      <c r="E24" s="618">
        <f>F24-'[17]Anexo 2 _ DP FUNC'!F24</f>
        <v>0</v>
      </c>
      <c r="F24" s="1333"/>
      <c r="G24" s="1338">
        <f>F24/F137*100</f>
        <v>0</v>
      </c>
      <c r="H24" s="1342">
        <f t="shared" si="2"/>
        <v>0</v>
      </c>
      <c r="I24" s="1341">
        <f>J24-'[17]Anexo 2 _ DP FUNC'!H24</f>
        <v>0</v>
      </c>
      <c r="J24" s="136"/>
      <c r="K24" s="1338">
        <f>J24/J137*100</f>
        <v>0</v>
      </c>
      <c r="L24" s="131">
        <f t="shared" si="3"/>
        <v>0</v>
      </c>
      <c r="M24" s="427"/>
      <c r="N24" s="129"/>
    </row>
    <row r="25" spans="1:14" ht="18" customHeight="1">
      <c r="A25" s="382" t="s">
        <v>120</v>
      </c>
      <c r="B25" s="382"/>
      <c r="C25" s="131">
        <v>11493058</v>
      </c>
      <c r="D25" s="132">
        <f>C25</f>
        <v>11493058</v>
      </c>
      <c r="E25" s="618">
        <f>F25-'[17]Anexo 2 _ DP FUNC'!F25</f>
        <v>471290.1900000004</v>
      </c>
      <c r="F25" s="1333">
        <v>5627123.7</v>
      </c>
      <c r="G25" s="1338">
        <f>F25/F137*100</f>
        <v>0.35461823907964857</v>
      </c>
      <c r="H25" s="1342">
        <f t="shared" si="2"/>
        <v>5865934.3</v>
      </c>
      <c r="I25" s="1341">
        <f>J25-'[17]Anexo 2 _ DP FUNC'!H25</f>
        <v>2553149.4299999997</v>
      </c>
      <c r="J25" s="136">
        <v>3262516.59</v>
      </c>
      <c r="K25" s="1338">
        <f>J25/J137*100</f>
        <v>0.47707439897191867</v>
      </c>
      <c r="L25" s="131">
        <f t="shared" si="3"/>
        <v>8230541.41</v>
      </c>
      <c r="M25" s="427"/>
      <c r="N25" s="129"/>
    </row>
    <row r="26" spans="1:14" ht="18" customHeight="1">
      <c r="A26" s="382" t="s">
        <v>121</v>
      </c>
      <c r="B26" s="382"/>
      <c r="C26" s="131">
        <v>1993902</v>
      </c>
      <c r="D26" s="132">
        <f>C26</f>
        <v>1993902</v>
      </c>
      <c r="E26" s="618">
        <f>F26-'[17]Anexo 2 _ DP FUNC'!F26</f>
        <v>4000</v>
      </c>
      <c r="F26" s="1333">
        <v>8000</v>
      </c>
      <c r="G26" s="1338">
        <f>F26/F137*100</f>
        <v>0.0005041555977589738</v>
      </c>
      <c r="H26" s="1342">
        <f t="shared" si="2"/>
        <v>1985902</v>
      </c>
      <c r="I26" s="1341">
        <f>J26-'[17]Anexo 2 _ DP FUNC'!H26</f>
        <v>4000</v>
      </c>
      <c r="J26" s="136">
        <v>8000</v>
      </c>
      <c r="K26" s="1338">
        <f>J26/J137*100</f>
        <v>0.0011698316580132239</v>
      </c>
      <c r="L26" s="131">
        <f t="shared" si="3"/>
        <v>1985902</v>
      </c>
      <c r="M26" s="427"/>
      <c r="N26" s="129"/>
    </row>
    <row r="27" spans="1:14" ht="18" customHeight="1">
      <c r="A27" s="382" t="s">
        <v>122</v>
      </c>
      <c r="B27" s="382"/>
      <c r="C27" s="131">
        <v>3992000</v>
      </c>
      <c r="D27" s="132">
        <v>6036095</v>
      </c>
      <c r="E27" s="618">
        <f>F27-'[17]Anexo 2 _ DP FUNC'!F27</f>
        <v>2196747.8600000003</v>
      </c>
      <c r="F27" s="1333">
        <v>4520313.62</v>
      </c>
      <c r="G27" s="1338">
        <f>F27/F137*100</f>
        <v>0.2848676768936414</v>
      </c>
      <c r="H27" s="1342">
        <f t="shared" si="2"/>
        <v>1515781.38</v>
      </c>
      <c r="I27" s="1341">
        <f>J27-'[17]Anexo 2 _ DP FUNC'!H27</f>
        <v>877372.8399999999</v>
      </c>
      <c r="J27" s="136">
        <v>1265464.42</v>
      </c>
      <c r="K27" s="1338">
        <f>J27/J137*100</f>
        <v>0.18504754257566783</v>
      </c>
      <c r="L27" s="131">
        <f t="shared" si="3"/>
        <v>4770630.58</v>
      </c>
      <c r="M27" s="427"/>
      <c r="N27" s="129"/>
    </row>
    <row r="28" spans="1:14" ht="18" customHeight="1">
      <c r="A28" s="382" t="s">
        <v>123</v>
      </c>
      <c r="B28" s="382"/>
      <c r="C28" s="131">
        <v>22780065</v>
      </c>
      <c r="D28" s="132">
        <v>15200065</v>
      </c>
      <c r="E28" s="618">
        <f>F28-'[17]Anexo 2 _ DP FUNC'!F28</f>
        <v>36964.330000000075</v>
      </c>
      <c r="F28" s="1333">
        <v>15014964.33</v>
      </c>
      <c r="G28" s="1338">
        <f>F28/F137*100</f>
        <v>0.9462347896401024</v>
      </c>
      <c r="H28" s="1342">
        <f t="shared" si="2"/>
        <v>185100.66999999993</v>
      </c>
      <c r="I28" s="1341">
        <f>J28-'[17]Anexo 2 _ DP FUNC'!H28</f>
        <v>4398977.39</v>
      </c>
      <c r="J28" s="136">
        <v>4990800.54</v>
      </c>
      <c r="K28" s="1338">
        <f>J28/J137*100</f>
        <v>0.7297995588151867</v>
      </c>
      <c r="L28" s="131">
        <f t="shared" si="3"/>
        <v>10209264.46</v>
      </c>
      <c r="M28" s="427"/>
      <c r="N28" s="129"/>
    </row>
    <row r="29" spans="1:14" ht="18" customHeight="1">
      <c r="A29" s="382" t="s">
        <v>553</v>
      </c>
      <c r="B29" s="382"/>
      <c r="C29" s="131">
        <v>20000</v>
      </c>
      <c r="D29" s="132">
        <f>C29</f>
        <v>20000</v>
      </c>
      <c r="E29" s="618">
        <f>F29-'[17]Anexo 2 _ DP FUNC'!F29</f>
        <v>0</v>
      </c>
      <c r="F29" s="1333">
        <v>0</v>
      </c>
      <c r="G29" s="1338">
        <f>F29/F137*100</f>
        <v>0</v>
      </c>
      <c r="H29" s="1342">
        <f t="shared" si="2"/>
        <v>20000</v>
      </c>
      <c r="I29" s="1341">
        <f>J29-'[17]Anexo 2 _ DP FUNC'!H29</f>
        <v>0</v>
      </c>
      <c r="J29" s="136">
        <v>0</v>
      </c>
      <c r="K29" s="1338">
        <f>J29/J137*100</f>
        <v>0</v>
      </c>
      <c r="L29" s="131">
        <f t="shared" si="3"/>
        <v>20000</v>
      </c>
      <c r="M29" s="427"/>
      <c r="N29" s="129"/>
    </row>
    <row r="30" spans="1:15" s="139" customFormat="1" ht="18" customHeight="1">
      <c r="A30" s="133" t="s">
        <v>811</v>
      </c>
      <c r="B30" s="133"/>
      <c r="C30" s="134"/>
      <c r="D30" s="134"/>
      <c r="E30" s="618">
        <f>F30-'[17]Anexo 2 _ DP FUNC'!F30</f>
        <v>0</v>
      </c>
      <c r="F30" s="1333"/>
      <c r="G30" s="1339">
        <f>F30/F137*100</f>
        <v>0</v>
      </c>
      <c r="H30" s="1342">
        <f t="shared" si="2"/>
        <v>0</v>
      </c>
      <c r="I30" s="1341">
        <f>J30-'[17]Anexo 2 _ DP FUNC'!H30</f>
        <v>0</v>
      </c>
      <c r="J30" s="136"/>
      <c r="K30" s="1339">
        <f>J30/J137*100</f>
        <v>0</v>
      </c>
      <c r="L30" s="1090">
        <f t="shared" si="3"/>
        <v>0</v>
      </c>
      <c r="M30" s="943"/>
      <c r="N30" s="412"/>
      <c r="O30" s="224"/>
    </row>
    <row r="31" spans="1:15" s="124" customFormat="1" ht="18" customHeight="1">
      <c r="A31" s="1463" t="s">
        <v>124</v>
      </c>
      <c r="B31" s="1463"/>
      <c r="C31" s="140">
        <f aca="true" t="shared" si="4" ref="C31:H31">C34+C32+C33</f>
        <v>1110719</v>
      </c>
      <c r="D31" s="147">
        <f t="shared" si="4"/>
        <v>1110719</v>
      </c>
      <c r="E31" s="1065">
        <f t="shared" si="4"/>
        <v>95353.05</v>
      </c>
      <c r="F31" s="518">
        <f t="shared" si="4"/>
        <v>209979.72</v>
      </c>
      <c r="G31" s="1337">
        <f>F31/F137*100</f>
        <v>0.013232806406732744</v>
      </c>
      <c r="H31" s="908">
        <f t="shared" si="4"/>
        <v>900739.28</v>
      </c>
      <c r="I31" s="1325">
        <f>I34+I32+I33</f>
        <v>87553.05</v>
      </c>
      <c r="J31" s="1034">
        <f>J32+J33+J34</f>
        <v>202179.72</v>
      </c>
      <c r="K31" s="1337">
        <f>J31/J137*100</f>
        <v>0.029564529633031172</v>
      </c>
      <c r="L31" s="942">
        <f>L32+L33+L34</f>
        <v>908539.28</v>
      </c>
      <c r="M31" s="942">
        <f>M32+M33+M34</f>
        <v>0</v>
      </c>
      <c r="N31" s="410"/>
      <c r="O31" s="130"/>
    </row>
    <row r="32" spans="1:14" ht="18" customHeight="1">
      <c r="A32" s="1451" t="s">
        <v>111</v>
      </c>
      <c r="B32" s="1451"/>
      <c r="C32" s="131"/>
      <c r="D32" s="142"/>
      <c r="E32" s="618"/>
      <c r="F32" s="1333"/>
      <c r="G32" s="1338">
        <f>F32/F137*100</f>
        <v>0</v>
      </c>
      <c r="H32" s="1342">
        <f>D32-F32</f>
        <v>0</v>
      </c>
      <c r="I32" s="1348">
        <f>J32-'[17]Anexo 2 _ DP FUNC'!H32</f>
        <v>0</v>
      </c>
      <c r="J32" s="427"/>
      <c r="K32" s="1338">
        <f>J32/J137*100</f>
        <v>0</v>
      </c>
      <c r="L32" s="131">
        <f>D32-J32</f>
        <v>0</v>
      </c>
      <c r="M32" s="427"/>
      <c r="N32" s="129"/>
    </row>
    <row r="33" spans="1:14" ht="18" customHeight="1">
      <c r="A33" s="1451" t="s">
        <v>125</v>
      </c>
      <c r="B33" s="1451"/>
      <c r="C33" s="131">
        <v>1110719</v>
      </c>
      <c r="D33" s="142">
        <f>C33</f>
        <v>1110719</v>
      </c>
      <c r="E33" s="618">
        <f>F33-'[17]Anexo 2 _ DP FUNC'!F33</f>
        <v>95353.05</v>
      </c>
      <c r="F33" s="1333">
        <v>209979.72</v>
      </c>
      <c r="G33" s="1338">
        <f>F33/F137*100</f>
        <v>0.013232806406732744</v>
      </c>
      <c r="H33" s="1342">
        <f>D33-F33</f>
        <v>900739.28</v>
      </c>
      <c r="I33" s="1348">
        <f>J33-'[17]Anexo 2 _ DP FUNC'!H33</f>
        <v>87553.05</v>
      </c>
      <c r="J33" s="427">
        <v>202179.72</v>
      </c>
      <c r="K33" s="1338">
        <f>J33/J137*100</f>
        <v>0.029564529633031172</v>
      </c>
      <c r="L33" s="131">
        <f>D33-J33</f>
        <v>908539.28</v>
      </c>
      <c r="M33" s="427"/>
      <c r="N33" s="129"/>
    </row>
    <row r="34" spans="1:14" ht="18" customHeight="1">
      <c r="A34" s="1450" t="s">
        <v>126</v>
      </c>
      <c r="B34" s="1450"/>
      <c r="C34" s="134"/>
      <c r="D34" s="142"/>
      <c r="E34" s="618"/>
      <c r="F34" s="1334"/>
      <c r="G34" s="1339">
        <f>F34/F137*100</f>
        <v>0</v>
      </c>
      <c r="H34" s="1343">
        <f>D34-F34</f>
        <v>0</v>
      </c>
      <c r="I34" s="1348">
        <f>J34-'[17]Anexo 2 _ DP FUNC'!H34</f>
        <v>0</v>
      </c>
      <c r="J34" s="428"/>
      <c r="K34" s="1339">
        <f>J34/J137*100</f>
        <v>0</v>
      </c>
      <c r="L34" s="1090">
        <f>D34-J34</f>
        <v>0</v>
      </c>
      <c r="M34" s="427"/>
      <c r="N34" s="129"/>
    </row>
    <row r="35" spans="1:15" s="124" customFormat="1" ht="18" customHeight="1">
      <c r="A35" s="1463" t="s">
        <v>127</v>
      </c>
      <c r="B35" s="1463"/>
      <c r="C35" s="141">
        <f aca="true" t="shared" si="5" ref="C35:L35">C36+C37+C38+C39+C40</f>
        <v>40694639</v>
      </c>
      <c r="D35" s="141">
        <f t="shared" si="5"/>
        <v>40694639</v>
      </c>
      <c r="E35" s="511">
        <f t="shared" si="5"/>
        <v>2969572.090000001</v>
      </c>
      <c r="F35" s="512">
        <f t="shared" si="5"/>
        <v>24286190.02</v>
      </c>
      <c r="G35" s="1337">
        <f>F35/F137*100</f>
        <v>1.5305023308526404</v>
      </c>
      <c r="H35" s="1364">
        <f t="shared" si="5"/>
        <v>16408448.98</v>
      </c>
      <c r="I35" s="1360">
        <f>I36+I37+I38+I39+I40</f>
        <v>5030957</v>
      </c>
      <c r="J35" s="147">
        <f t="shared" si="5"/>
        <v>8804212.55</v>
      </c>
      <c r="K35" s="1337">
        <f>J35/J137*100</f>
        <v>1.2874308206084168</v>
      </c>
      <c r="L35" s="512">
        <f t="shared" si="5"/>
        <v>31890426.450000003</v>
      </c>
      <c r="M35" s="945">
        <f>M36+M37+M38+M39+M40</f>
        <v>0</v>
      </c>
      <c r="N35" s="410"/>
      <c r="O35" s="130"/>
    </row>
    <row r="36" spans="1:14" ht="18" customHeight="1">
      <c r="A36" s="1451" t="s">
        <v>111</v>
      </c>
      <c r="B36" s="1451"/>
      <c r="C36" s="131">
        <v>15590231</v>
      </c>
      <c r="D36" s="131">
        <f>C36</f>
        <v>15590231</v>
      </c>
      <c r="E36" s="618">
        <f>F36-'[17]Anexo 2 _ DP FUNC'!F36</f>
        <v>164976.8200000003</v>
      </c>
      <c r="F36" s="1333">
        <v>14146991.61</v>
      </c>
      <c r="G36" s="1338">
        <f>F36/F137*100</f>
        <v>0.8915356264538422</v>
      </c>
      <c r="H36" s="1342">
        <f>D36-F36</f>
        <v>1443239.3900000006</v>
      </c>
      <c r="I36" s="1348">
        <f>J36-'[17]Anexo 2 _ DP FUNC'!H36</f>
        <v>2540326.6799999997</v>
      </c>
      <c r="J36" s="142">
        <v>4925915.38</v>
      </c>
      <c r="K36" s="1338">
        <f>J36/J137*100</f>
        <v>0.72031146952728</v>
      </c>
      <c r="L36" s="131">
        <f>D36-J36</f>
        <v>10664315.620000001</v>
      </c>
      <c r="M36" s="427"/>
      <c r="N36" s="129"/>
    </row>
    <row r="37" spans="1:14" ht="18" customHeight="1">
      <c r="A37" s="1451" t="s">
        <v>128</v>
      </c>
      <c r="B37" s="1451"/>
      <c r="C37" s="131"/>
      <c r="D37" s="131"/>
      <c r="E37" s="618">
        <f>F37-'[17]Anexo 2 _ DP FUNC'!F37</f>
        <v>0</v>
      </c>
      <c r="F37" s="1333"/>
      <c r="G37" s="1338">
        <f>F37/F137*100</f>
        <v>0</v>
      </c>
      <c r="H37" s="1342">
        <f>D37-F37</f>
        <v>0</v>
      </c>
      <c r="I37" s="1348">
        <f>J37-'[17]Anexo 2 _ DP FUNC'!H37</f>
        <v>0</v>
      </c>
      <c r="J37" s="142"/>
      <c r="K37" s="1338">
        <f>J37/J137*100</f>
        <v>0</v>
      </c>
      <c r="L37" s="131">
        <f>D37-J37</f>
        <v>0</v>
      </c>
      <c r="M37" s="427"/>
      <c r="N37" s="129"/>
    </row>
    <row r="38" spans="1:14" ht="18" customHeight="1">
      <c r="A38" s="1451" t="s">
        <v>129</v>
      </c>
      <c r="B38" s="1451"/>
      <c r="C38" s="131"/>
      <c r="D38" s="131"/>
      <c r="E38" s="618">
        <f>F38-'[17]Anexo 2 _ DP FUNC'!F38</f>
        <v>0</v>
      </c>
      <c r="F38" s="1333"/>
      <c r="G38" s="1338">
        <f>F38/F137*100</f>
        <v>0</v>
      </c>
      <c r="H38" s="1342">
        <f>D38-F38</f>
        <v>0</v>
      </c>
      <c r="I38" s="1348">
        <f>J38-'[17]Anexo 2 _ DP FUNC'!H38</f>
        <v>0</v>
      </c>
      <c r="J38" s="142"/>
      <c r="K38" s="1338">
        <f>J38/J137*100</f>
        <v>0</v>
      </c>
      <c r="L38" s="131">
        <f>D38-J38</f>
        <v>0</v>
      </c>
      <c r="M38" s="427"/>
      <c r="N38" s="129"/>
    </row>
    <row r="39" spans="1:14" ht="18" customHeight="1">
      <c r="A39" s="1451" t="s">
        <v>812</v>
      </c>
      <c r="B39" s="1451"/>
      <c r="C39" s="131">
        <v>5314772</v>
      </c>
      <c r="D39" s="131">
        <f>C39</f>
        <v>5314772</v>
      </c>
      <c r="E39" s="618">
        <f>F39-'[17]Anexo 2 _ DP FUNC'!F39</f>
        <v>68558</v>
      </c>
      <c r="F39" s="1333">
        <v>310621</v>
      </c>
      <c r="G39" s="1338">
        <f>F39/F137*100</f>
        <v>0.019575164491436276</v>
      </c>
      <c r="H39" s="1342">
        <f>D39-F39</f>
        <v>5004151</v>
      </c>
      <c r="I39" s="1348">
        <f>J39-'[17]Anexo 2 _ DP FUNC'!H39</f>
        <v>45847.59999999999</v>
      </c>
      <c r="J39" s="142">
        <v>78652.4</v>
      </c>
      <c r="K39" s="1338">
        <f>J39/J137*100</f>
        <v>0.011501258437339911</v>
      </c>
      <c r="L39" s="131">
        <f>D39-J39</f>
        <v>5236119.6</v>
      </c>
      <c r="M39" s="427"/>
      <c r="N39" s="129"/>
    </row>
    <row r="40" spans="1:14" ht="18" customHeight="1">
      <c r="A40" s="1465" t="s">
        <v>130</v>
      </c>
      <c r="B40" s="1465"/>
      <c r="C40" s="134">
        <v>19789636</v>
      </c>
      <c r="D40" s="131">
        <f>C40</f>
        <v>19789636</v>
      </c>
      <c r="E40" s="618">
        <f>F40-'[17]Anexo 2 _ DP FUNC'!F40</f>
        <v>2736037.2700000005</v>
      </c>
      <c r="F40" s="1333">
        <v>9828577.41</v>
      </c>
      <c r="G40" s="1339">
        <f>F40/F137*100</f>
        <v>0.6193915399073621</v>
      </c>
      <c r="H40" s="1342">
        <f>D40-F40</f>
        <v>9961058.59</v>
      </c>
      <c r="I40" s="1348">
        <f>J40-'[17]Anexo 2 _ DP FUNC'!H40</f>
        <v>2444782.7199999997</v>
      </c>
      <c r="J40" s="142">
        <v>3799644.77</v>
      </c>
      <c r="K40" s="1339">
        <f>J40/J137*100</f>
        <v>0.5556180926437968</v>
      </c>
      <c r="L40" s="131">
        <f>D40-J40</f>
        <v>15989991.23</v>
      </c>
      <c r="M40" s="427"/>
      <c r="N40" s="129"/>
    </row>
    <row r="41" spans="1:15" s="124" customFormat="1" ht="18" customHeight="1">
      <c r="A41" s="411" t="s">
        <v>131</v>
      </c>
      <c r="B41" s="411"/>
      <c r="C41" s="127">
        <f aca="true" t="shared" si="6" ref="C41:J41">C45+C43+C44+C42</f>
        <v>256674132</v>
      </c>
      <c r="D41" s="127">
        <f t="shared" si="6"/>
        <v>256674132</v>
      </c>
      <c r="E41" s="127">
        <f t="shared" si="6"/>
        <v>0</v>
      </c>
      <c r="F41" s="141">
        <f t="shared" si="6"/>
        <v>180540530.94</v>
      </c>
      <c r="G41" s="1337">
        <f>F41/F137*100</f>
        <v>11.377564911972275</v>
      </c>
      <c r="H41" s="1350">
        <f t="shared" si="6"/>
        <v>76133601.06</v>
      </c>
      <c r="I41" s="429">
        <f t="shared" si="6"/>
        <v>35103070.36</v>
      </c>
      <c r="J41" s="127">
        <f t="shared" si="6"/>
        <v>64491688.31</v>
      </c>
      <c r="K41" s="1337">
        <f>J41/J137*100</f>
        <v>9.430552332969919</v>
      </c>
      <c r="L41" s="127">
        <f>L42+L43+L44+L45</f>
        <v>192182443.69</v>
      </c>
      <c r="M41" s="127">
        <f>M42+M43+M44+M45</f>
        <v>0</v>
      </c>
      <c r="N41" s="410"/>
      <c r="O41" s="130"/>
    </row>
    <row r="42" spans="1:14" ht="18" customHeight="1">
      <c r="A42" s="382" t="s">
        <v>828</v>
      </c>
      <c r="B42" s="382"/>
      <c r="C42" s="131"/>
      <c r="D42" s="142"/>
      <c r="E42" s="932"/>
      <c r="F42" s="507"/>
      <c r="G42" s="1338">
        <f>F42/F137*100</f>
        <v>0</v>
      </c>
      <c r="H42" s="1342">
        <f>D42-F42</f>
        <v>0</v>
      </c>
      <c r="I42" s="1348">
        <f>J42-'[17]Anexo 2 _ DP FUNC'!H42</f>
        <v>0</v>
      </c>
      <c r="J42" s="427"/>
      <c r="K42" s="1338">
        <f>J42/J137*100</f>
        <v>0</v>
      </c>
      <c r="L42" s="131">
        <f>D42-J42</f>
        <v>0</v>
      </c>
      <c r="M42" s="427"/>
      <c r="N42" s="129"/>
    </row>
    <row r="43" spans="1:14" ht="18" customHeight="1">
      <c r="A43" s="382" t="s">
        <v>111</v>
      </c>
      <c r="B43" s="382"/>
      <c r="C43" s="131"/>
      <c r="D43" s="142"/>
      <c r="E43" s="618"/>
      <c r="F43" s="1333"/>
      <c r="G43" s="1338">
        <f>F43/F137*100</f>
        <v>0</v>
      </c>
      <c r="H43" s="1342">
        <f>D43-F43</f>
        <v>0</v>
      </c>
      <c r="I43" s="1348">
        <f>J43-'[17]Anexo 2 _ DP FUNC'!H43</f>
        <v>0</v>
      </c>
      <c r="J43" s="427"/>
      <c r="K43" s="1338">
        <f>J43/J137*100</f>
        <v>0</v>
      </c>
      <c r="L43" s="131">
        <f>D43-J43</f>
        <v>0</v>
      </c>
      <c r="M43" s="427"/>
      <c r="N43" s="129"/>
    </row>
    <row r="44" spans="1:14" ht="18" customHeight="1">
      <c r="A44" s="382" t="s">
        <v>133</v>
      </c>
      <c r="B44" s="382"/>
      <c r="C44" s="131">
        <v>235550132</v>
      </c>
      <c r="D44" s="142">
        <f>C44</f>
        <v>235550132</v>
      </c>
      <c r="E44" s="618">
        <f>F44-'[17]Anexo 2 _ DP FUNC'!F44</f>
        <v>0</v>
      </c>
      <c r="F44" s="1333">
        <v>172600000</v>
      </c>
      <c r="G44" s="1338">
        <f>F44/F137*100</f>
        <v>10.87715702164986</v>
      </c>
      <c r="H44" s="1342">
        <f>D44-F44</f>
        <v>62950132</v>
      </c>
      <c r="I44" s="1348">
        <f>J44-'[17]Anexo 2 _ DP FUNC'!H44</f>
        <v>31803606.330000002</v>
      </c>
      <c r="J44" s="427">
        <v>59204947.34</v>
      </c>
      <c r="K44" s="1338">
        <f>J44/J137*100</f>
        <v>8.657477713667227</v>
      </c>
      <c r="L44" s="131">
        <f>D44-J44</f>
        <v>176345184.66</v>
      </c>
      <c r="M44" s="427"/>
      <c r="N44" s="129"/>
    </row>
    <row r="45" spans="1:14" ht="18" customHeight="1">
      <c r="A45" s="133" t="s">
        <v>813</v>
      </c>
      <c r="B45" s="133"/>
      <c r="C45" s="907">
        <v>21124000</v>
      </c>
      <c r="D45" s="135">
        <f>C45</f>
        <v>21124000</v>
      </c>
      <c r="E45" s="618">
        <f>F45-'[17]Anexo 2 _ DP FUNC'!F45</f>
        <v>0</v>
      </c>
      <c r="F45" s="1334">
        <v>7940530.94</v>
      </c>
      <c r="G45" s="1339">
        <f>F45/F137*100</f>
        <v>0.5004078903224158</v>
      </c>
      <c r="H45" s="1343">
        <f>D45-F45</f>
        <v>13183469.059999999</v>
      </c>
      <c r="I45" s="1348">
        <f>J45-'[17]Anexo 2 _ DP FUNC'!H45</f>
        <v>3299464.03</v>
      </c>
      <c r="J45" s="428">
        <v>5286740.97</v>
      </c>
      <c r="K45" s="1339">
        <f>J45/J137*100</f>
        <v>0.7730746193026924</v>
      </c>
      <c r="L45" s="1090">
        <f>D45-J45</f>
        <v>15837259.030000001</v>
      </c>
      <c r="M45" s="943"/>
      <c r="N45" s="129"/>
    </row>
    <row r="46" spans="1:15" s="124" customFormat="1" ht="18" customHeight="1">
      <c r="A46" s="411" t="s">
        <v>134</v>
      </c>
      <c r="B46" s="387"/>
      <c r="C46" s="147">
        <f>SUM(C47:C56)</f>
        <v>747688101</v>
      </c>
      <c r="D46" s="147">
        <f aca="true" t="shared" si="7" ref="D46:L46">SUM(D47:D56)</f>
        <v>726867025.58</v>
      </c>
      <c r="E46" s="1367">
        <f t="shared" si="7"/>
        <v>109440092.58000003</v>
      </c>
      <c r="F46" s="512">
        <f t="shared" si="7"/>
        <v>583846029.74</v>
      </c>
      <c r="G46" s="1337">
        <f>F46/F137*100</f>
        <v>36.793655515346664</v>
      </c>
      <c r="H46" s="1364">
        <f t="shared" si="7"/>
        <v>143020995.84</v>
      </c>
      <c r="I46" s="1360">
        <f>SUM(I47:I56)</f>
        <v>129142202.67999999</v>
      </c>
      <c r="J46" s="147">
        <f t="shared" si="7"/>
        <v>220101985.4</v>
      </c>
      <c r="K46" s="1337">
        <f>J46/J137*100</f>
        <v>32.18528381406055</v>
      </c>
      <c r="L46" s="512">
        <f t="shared" si="7"/>
        <v>506765040.17999995</v>
      </c>
      <c r="M46" s="942">
        <f>SUM(M47:M56)</f>
        <v>0</v>
      </c>
      <c r="N46" s="410"/>
      <c r="O46" s="130"/>
    </row>
    <row r="47" spans="1:14" ht="18" customHeight="1">
      <c r="A47" s="1451" t="s">
        <v>117</v>
      </c>
      <c r="B47" s="1451"/>
      <c r="C47" s="131">
        <v>184195</v>
      </c>
      <c r="D47" s="131">
        <f>C47</f>
        <v>184195</v>
      </c>
      <c r="E47" s="618">
        <f>F47-'[17]Anexo 2 _ DP FUNC'!F47</f>
        <v>11763.66</v>
      </c>
      <c r="F47" s="1333">
        <v>11763.66</v>
      </c>
      <c r="G47" s="1338">
        <f>F47/F137*100</f>
        <v>0.0007413393798916662</v>
      </c>
      <c r="H47" s="1342">
        <f aca="true" t="shared" si="8" ref="H47:H56">D47-F47</f>
        <v>172431.34</v>
      </c>
      <c r="I47" s="1348">
        <f>J47-'[17]Anexo 2 _ DP FUNC'!H47</f>
        <v>568.8</v>
      </c>
      <c r="J47" s="131">
        <v>568.8</v>
      </c>
      <c r="K47" s="1338">
        <f>J47/J137*100</f>
        <v>8.317503088474022E-05</v>
      </c>
      <c r="L47" s="131">
        <f aca="true" t="shared" si="9" ref="L47:L56">D47-J47</f>
        <v>183626.2</v>
      </c>
      <c r="M47" s="427"/>
      <c r="N47" s="129"/>
    </row>
    <row r="48" spans="1:15" s="716" customFormat="1" ht="18" customHeight="1">
      <c r="A48" s="715" t="s">
        <v>111</v>
      </c>
      <c r="B48" s="715"/>
      <c r="C48" s="710">
        <v>256914513</v>
      </c>
      <c r="D48" s="1368">
        <v>236093437.58</v>
      </c>
      <c r="E48" s="1369">
        <f>F48-'[17]Anexo 2 _ DP FUNC'!F48</f>
        <v>-11926730.389999986</v>
      </c>
      <c r="F48" s="507">
        <v>223049057.21</v>
      </c>
      <c r="G48" s="1338">
        <f>F48/F137*100</f>
        <v>14.056428845910387</v>
      </c>
      <c r="H48" s="1342">
        <f t="shared" si="8"/>
        <v>13044380.370000005</v>
      </c>
      <c r="I48" s="1348">
        <f>J48-'[17]Anexo 2 _ DP FUNC'!H48</f>
        <v>39880904.18</v>
      </c>
      <c r="J48" s="710">
        <v>75985769.94</v>
      </c>
      <c r="K48" s="1338">
        <f>J48/J137*100</f>
        <v>11.111319904290198</v>
      </c>
      <c r="L48" s="131">
        <f t="shared" si="9"/>
        <v>160107667.64000002</v>
      </c>
      <c r="M48" s="944"/>
      <c r="N48" s="713"/>
      <c r="O48" s="714"/>
    </row>
    <row r="49" spans="1:14" ht="18" customHeight="1">
      <c r="A49" s="382" t="s">
        <v>120</v>
      </c>
      <c r="B49" s="382"/>
      <c r="C49" s="131"/>
      <c r="D49" s="131"/>
      <c r="E49" s="618">
        <f>F49-'[17]Anexo 2 _ DP FUNC'!F49</f>
        <v>0</v>
      </c>
      <c r="F49" s="1333"/>
      <c r="G49" s="1338">
        <f>F49/F137*100</f>
        <v>0</v>
      </c>
      <c r="H49" s="1342">
        <f t="shared" si="8"/>
        <v>0</v>
      </c>
      <c r="I49" s="1348">
        <f>J49-'[17]Anexo 2 _ DP FUNC'!H49</f>
        <v>0</v>
      </c>
      <c r="J49" s="131"/>
      <c r="K49" s="1338">
        <f>J49/J137*100</f>
        <v>0</v>
      </c>
      <c r="L49" s="131">
        <f t="shared" si="9"/>
        <v>0</v>
      </c>
      <c r="M49" s="427"/>
      <c r="N49" s="129"/>
    </row>
    <row r="50" spans="1:14" ht="18" customHeight="1">
      <c r="A50" s="382" t="s">
        <v>518</v>
      </c>
      <c r="B50" s="382"/>
      <c r="C50" s="131"/>
      <c r="D50" s="131"/>
      <c r="E50" s="618">
        <f>F50-'[17]Anexo 2 _ DP FUNC'!F50</f>
        <v>0</v>
      </c>
      <c r="F50" s="1333"/>
      <c r="G50" s="1338">
        <f>F50/F137*100</f>
        <v>0</v>
      </c>
      <c r="H50" s="1342">
        <f t="shared" si="8"/>
        <v>0</v>
      </c>
      <c r="I50" s="1348">
        <f>J50-'[17]Anexo 2 _ DP FUNC'!H50</f>
        <v>0</v>
      </c>
      <c r="J50" s="131"/>
      <c r="K50" s="1338">
        <f>J50/J137*100</f>
        <v>0</v>
      </c>
      <c r="L50" s="131">
        <f t="shared" si="9"/>
        <v>0</v>
      </c>
      <c r="M50" s="427"/>
      <c r="N50" s="129"/>
    </row>
    <row r="51" spans="1:14" ht="18" customHeight="1">
      <c r="A51" s="382" t="s">
        <v>121</v>
      </c>
      <c r="B51" s="382"/>
      <c r="C51" s="131"/>
      <c r="D51" s="131"/>
      <c r="E51" s="618">
        <f>F51-'[17]Anexo 2 _ DP FUNC'!F51</f>
        <v>0</v>
      </c>
      <c r="F51" s="1333"/>
      <c r="G51" s="1338">
        <f>F51/F137*100</f>
        <v>0</v>
      </c>
      <c r="H51" s="1342">
        <f t="shared" si="8"/>
        <v>0</v>
      </c>
      <c r="I51" s="1348">
        <f>J51-'[17]Anexo 2 _ DP FUNC'!H51</f>
        <v>0</v>
      </c>
      <c r="J51" s="131"/>
      <c r="K51" s="1338">
        <f>J51/J137*100</f>
        <v>0</v>
      </c>
      <c r="L51" s="131">
        <f t="shared" si="9"/>
        <v>0</v>
      </c>
      <c r="M51" s="427"/>
      <c r="N51" s="129"/>
    </row>
    <row r="52" spans="1:14" ht="18" customHeight="1">
      <c r="A52" s="382" t="s">
        <v>135</v>
      </c>
      <c r="B52" s="382"/>
      <c r="C52" s="131">
        <v>71920070</v>
      </c>
      <c r="D52" s="131">
        <v>68990070</v>
      </c>
      <c r="E52" s="618">
        <f>F52-'[17]Anexo 2 _ DP FUNC'!F52</f>
        <v>17297397.040000007</v>
      </c>
      <c r="F52" s="1333">
        <v>50927696.95</v>
      </c>
      <c r="G52" s="1338">
        <f>F52/F137*100</f>
        <v>3.20943543728939</v>
      </c>
      <c r="H52" s="1342">
        <f t="shared" si="8"/>
        <v>18062373.049999997</v>
      </c>
      <c r="I52" s="1348">
        <f>J52-'[17]Anexo 2 _ DP FUNC'!H52</f>
        <v>15766665.64</v>
      </c>
      <c r="J52" s="131">
        <v>22280608.27</v>
      </c>
      <c r="K52" s="1338">
        <f>J52/J137*100</f>
        <v>3.258070114254656</v>
      </c>
      <c r="L52" s="131">
        <f t="shared" si="9"/>
        <v>46709461.730000004</v>
      </c>
      <c r="M52" s="427"/>
      <c r="N52" s="129"/>
    </row>
    <row r="53" spans="1:14" ht="18" customHeight="1">
      <c r="A53" s="1466" t="s">
        <v>136</v>
      </c>
      <c r="B53" s="1466"/>
      <c r="C53" s="131">
        <v>369060376</v>
      </c>
      <c r="D53" s="131">
        <v>371990376</v>
      </c>
      <c r="E53" s="618">
        <f>F53-'[17]Anexo 2 _ DP FUNC'!F53</f>
        <v>95566821.96000001</v>
      </c>
      <c r="F53" s="1333">
        <v>288984483.93</v>
      </c>
      <c r="G53" s="1338">
        <f>F53/F137*100</f>
        <v>18.211643154849718</v>
      </c>
      <c r="H53" s="1342">
        <f t="shared" si="8"/>
        <v>83005892.07</v>
      </c>
      <c r="I53" s="1348">
        <f>J53-'[17]Anexo 2 _ DP FUNC'!H53</f>
        <v>67841728.39</v>
      </c>
      <c r="J53" s="131">
        <v>114580960.03</v>
      </c>
      <c r="K53" s="1338">
        <f>J53/J137*100</f>
        <v>16.75505430608023</v>
      </c>
      <c r="L53" s="131">
        <f t="shared" si="9"/>
        <v>257409415.97</v>
      </c>
      <c r="M53" s="427"/>
      <c r="N53" s="129"/>
    </row>
    <row r="54" spans="1:14" ht="18" customHeight="1">
      <c r="A54" s="1466" t="s">
        <v>509</v>
      </c>
      <c r="B54" s="1466"/>
      <c r="C54" s="131">
        <v>26135188</v>
      </c>
      <c r="D54" s="131">
        <f>C54</f>
        <v>26135188</v>
      </c>
      <c r="E54" s="618">
        <f>F54-'[17]Anexo 2 _ DP FUNC'!F54</f>
        <v>4929196.39</v>
      </c>
      <c r="F54" s="1333">
        <v>4933690.59</v>
      </c>
      <c r="G54" s="1338">
        <f>F54/F137*100</f>
        <v>0.31091846606990925</v>
      </c>
      <c r="H54" s="1342">
        <f t="shared" si="8"/>
        <v>21201497.41</v>
      </c>
      <c r="I54" s="1348">
        <f>J54-'[17]Anexo 2 _ DP FUNC'!H54</f>
        <v>1822868.79</v>
      </c>
      <c r="J54" s="131">
        <v>1827362.99</v>
      </c>
      <c r="K54" s="1338">
        <f>J54/J137*100</f>
        <v>0.2672133845479628</v>
      </c>
      <c r="L54" s="131">
        <f t="shared" si="9"/>
        <v>24307825.01</v>
      </c>
      <c r="M54" s="427"/>
      <c r="N54" s="129"/>
    </row>
    <row r="55" spans="1:14" ht="18" customHeight="1">
      <c r="A55" s="1466" t="s">
        <v>137</v>
      </c>
      <c r="B55" s="1466"/>
      <c r="C55" s="131">
        <v>23473759</v>
      </c>
      <c r="D55" s="131">
        <f>C55</f>
        <v>23473759</v>
      </c>
      <c r="E55" s="618">
        <f>F55-'[17]Anexo 2 _ DP FUNC'!F55</f>
        <v>3561643.92</v>
      </c>
      <c r="F55" s="1333">
        <v>15939337.4</v>
      </c>
      <c r="G55" s="1338">
        <f>F55/F137*100</f>
        <v>1.0044882718473709</v>
      </c>
      <c r="H55" s="1342">
        <f t="shared" si="8"/>
        <v>7534421.6</v>
      </c>
      <c r="I55" s="1348">
        <f>J55-'[17]Anexo 2 _ DP FUNC'!H55</f>
        <v>3829466.88</v>
      </c>
      <c r="J55" s="131">
        <v>5426715.37</v>
      </c>
      <c r="K55" s="1338">
        <f>J55/J137*100</f>
        <v>0.7935429298566183</v>
      </c>
      <c r="L55" s="131">
        <f t="shared" si="9"/>
        <v>18047043.63</v>
      </c>
      <c r="M55" s="427"/>
      <c r="N55" s="129"/>
    </row>
    <row r="56" spans="1:14" ht="18" customHeight="1">
      <c r="A56" s="133" t="s">
        <v>138</v>
      </c>
      <c r="B56" s="413"/>
      <c r="C56" s="134"/>
      <c r="D56" s="134"/>
      <c r="E56" s="618">
        <f>F56-'[17]Anexo 2 _ DP FUNC'!F56</f>
        <v>0</v>
      </c>
      <c r="F56" s="1333"/>
      <c r="G56" s="1339">
        <f>F56/F137*100</f>
        <v>0</v>
      </c>
      <c r="H56" s="1342">
        <f t="shared" si="8"/>
        <v>0</v>
      </c>
      <c r="I56" s="1348">
        <f>J56-'[17]Anexo 2 _ DP FUNC'!H56</f>
        <v>0</v>
      </c>
      <c r="J56" s="134"/>
      <c r="K56" s="1339">
        <f>J56/J137*100</f>
        <v>0</v>
      </c>
      <c r="L56" s="131">
        <f t="shared" si="9"/>
        <v>0</v>
      </c>
      <c r="M56" s="943"/>
      <c r="N56" s="129"/>
    </row>
    <row r="57" spans="1:15" s="124" customFormat="1" ht="18" customHeight="1">
      <c r="A57" s="1467" t="s">
        <v>139</v>
      </c>
      <c r="B57" s="1467"/>
      <c r="C57" s="127">
        <f aca="true" t="shared" si="10" ref="C57:J57">C61+C60+C58+C59</f>
        <v>78000</v>
      </c>
      <c r="D57" s="127">
        <f t="shared" si="10"/>
        <v>78000</v>
      </c>
      <c r="E57" s="514">
        <f t="shared" si="10"/>
        <v>0</v>
      </c>
      <c r="F57" s="1346">
        <f t="shared" si="10"/>
        <v>0</v>
      </c>
      <c r="G57" s="1337">
        <f>F57/F137*100</f>
        <v>0</v>
      </c>
      <c r="H57" s="1365">
        <f t="shared" si="10"/>
        <v>78000</v>
      </c>
      <c r="I57" s="1324">
        <f>I61+I60+I58+I59</f>
        <v>0</v>
      </c>
      <c r="J57" s="127">
        <f t="shared" si="10"/>
        <v>0</v>
      </c>
      <c r="K57" s="1337">
        <f>J57/J137*100</f>
        <v>0</v>
      </c>
      <c r="L57" s="945">
        <f>L58+L59+L60+L61</f>
        <v>78000</v>
      </c>
      <c r="M57" s="945">
        <f>M58+M59+M60+M61</f>
        <v>0</v>
      </c>
      <c r="N57" s="410"/>
      <c r="O57" s="130"/>
    </row>
    <row r="58" spans="1:15" s="124" customFormat="1" ht="18" customHeight="1">
      <c r="A58" s="1466" t="s">
        <v>140</v>
      </c>
      <c r="B58" s="1466"/>
      <c r="C58" s="131">
        <v>20000</v>
      </c>
      <c r="D58" s="131">
        <f>C58</f>
        <v>20000</v>
      </c>
      <c r="E58" s="618">
        <f>F58-'[17]Anexo 2 _ DP FUNC'!F58</f>
        <v>0</v>
      </c>
      <c r="F58" s="1333">
        <v>0</v>
      </c>
      <c r="G58" s="1338">
        <f>F58/F137*100</f>
        <v>0</v>
      </c>
      <c r="H58" s="1342">
        <f>D58-F58</f>
        <v>20000</v>
      </c>
      <c r="I58" s="1348">
        <f>J58-'[17]Anexo 2 _ DP FUNC'!H58</f>
        <v>0</v>
      </c>
      <c r="J58" s="131">
        <v>0</v>
      </c>
      <c r="K58" s="1338">
        <f>J58/J137*100</f>
        <v>0</v>
      </c>
      <c r="L58" s="131">
        <f>D58-J58</f>
        <v>20000</v>
      </c>
      <c r="M58" s="427"/>
      <c r="N58" s="410"/>
      <c r="O58" s="130"/>
    </row>
    <row r="59" spans="1:15" s="124" customFormat="1" ht="18" customHeight="1">
      <c r="A59" s="1466" t="s">
        <v>141</v>
      </c>
      <c r="B59" s="1466"/>
      <c r="C59" s="131">
        <v>58000</v>
      </c>
      <c r="D59" s="131">
        <f>C59</f>
        <v>58000</v>
      </c>
      <c r="E59" s="618">
        <f>F59-'[17]Anexo 2 _ DP FUNC'!F59</f>
        <v>0</v>
      </c>
      <c r="F59" s="1333">
        <v>0</v>
      </c>
      <c r="G59" s="1338">
        <f>F59/F137*100</f>
        <v>0</v>
      </c>
      <c r="H59" s="1342">
        <f>D59-F59</f>
        <v>58000</v>
      </c>
      <c r="I59" s="1348">
        <f>J59-'[17]Anexo 2 _ DP FUNC'!H59</f>
        <v>0</v>
      </c>
      <c r="J59" s="131">
        <v>0</v>
      </c>
      <c r="K59" s="1338">
        <f>J59/J137*100</f>
        <v>0</v>
      </c>
      <c r="L59" s="131">
        <f>D59-J59</f>
        <v>58000</v>
      </c>
      <c r="M59" s="427"/>
      <c r="N59" s="410"/>
      <c r="O59" s="130"/>
    </row>
    <row r="60" spans="1:14" ht="18" customHeight="1">
      <c r="A60" s="1466" t="s">
        <v>142</v>
      </c>
      <c r="B60" s="1466"/>
      <c r="C60" s="131"/>
      <c r="D60" s="131"/>
      <c r="E60" s="618">
        <f>F60-'[17]Anexo 2 _ DP FUNC'!F60</f>
        <v>0</v>
      </c>
      <c r="F60" s="1333"/>
      <c r="G60" s="1338">
        <f>F60/F137*100</f>
        <v>0</v>
      </c>
      <c r="H60" s="1342">
        <f>D60-F60</f>
        <v>0</v>
      </c>
      <c r="I60" s="1348">
        <f>J60-'[17]Anexo 2 _ DP FUNC'!H60</f>
        <v>0</v>
      </c>
      <c r="J60" s="131"/>
      <c r="K60" s="1338">
        <f>J60/J137*100</f>
        <v>0</v>
      </c>
      <c r="L60" s="131">
        <f>D60-J60</f>
        <v>0</v>
      </c>
      <c r="M60" s="427"/>
      <c r="N60" s="129"/>
    </row>
    <row r="61" spans="1:15" ht="18" customHeight="1">
      <c r="A61" s="1465" t="s">
        <v>143</v>
      </c>
      <c r="B61" s="1465"/>
      <c r="C61" s="131"/>
      <c r="D61" s="134"/>
      <c r="E61" s="618">
        <f>F61-'[17]Anexo 2 _ DP FUNC'!F61</f>
        <v>0</v>
      </c>
      <c r="F61" s="1334"/>
      <c r="G61" s="1339">
        <f>F61/F137*100</f>
        <v>0</v>
      </c>
      <c r="H61" s="1342">
        <f>D61-F61</f>
        <v>0</v>
      </c>
      <c r="I61" s="1361">
        <f>J61-'[17]Anexo 2 _ DP FUNC'!H61</f>
        <v>0</v>
      </c>
      <c r="J61" s="132"/>
      <c r="K61" s="1339">
        <f>J61/J137*100</f>
        <v>0</v>
      </c>
      <c r="L61" s="131">
        <f>D61-J61</f>
        <v>0</v>
      </c>
      <c r="M61" s="427"/>
      <c r="N61" s="129"/>
      <c r="O61" s="694"/>
    </row>
    <row r="62" spans="1:14" s="130" customFormat="1" ht="18" customHeight="1">
      <c r="A62" s="1462" t="s">
        <v>144</v>
      </c>
      <c r="B62" s="1462"/>
      <c r="C62" s="143">
        <f aca="true" t="shared" si="11" ref="C62:L62">SUM(C63:C69)</f>
        <v>538717819</v>
      </c>
      <c r="D62" s="144">
        <f t="shared" si="11"/>
        <v>522276959.1700001</v>
      </c>
      <c r="E62" s="515">
        <f>SUM(E63:E69)</f>
        <v>48686930.44</v>
      </c>
      <c r="F62" s="516">
        <f t="shared" si="11"/>
        <v>173686781.13</v>
      </c>
      <c r="G62" s="1337">
        <f>F62/F137*100</f>
        <v>10.9456453704284</v>
      </c>
      <c r="H62" s="1018">
        <f t="shared" si="11"/>
        <v>348590178.04</v>
      </c>
      <c r="I62" s="1362">
        <f>SUM(I63:I69)</f>
        <v>77306409.94</v>
      </c>
      <c r="J62" s="430">
        <f t="shared" si="11"/>
        <v>131277601.69</v>
      </c>
      <c r="K62" s="1337">
        <f>J62/J137*100</f>
        <v>19.196586805626538</v>
      </c>
      <c r="L62" s="516">
        <f t="shared" si="11"/>
        <v>390999357.48</v>
      </c>
      <c r="M62" s="946">
        <f>SUM(M63:M69)</f>
        <v>0</v>
      </c>
      <c r="N62" s="410"/>
    </row>
    <row r="63" spans="1:14" s="113" customFormat="1" ht="18" customHeight="1">
      <c r="A63" s="382" t="s">
        <v>111</v>
      </c>
      <c r="B63" s="411"/>
      <c r="C63" s="145"/>
      <c r="D63" s="146"/>
      <c r="E63" s="618">
        <f>F63-'[17]Anexo 2 _ DP FUNC'!F63</f>
        <v>0</v>
      </c>
      <c r="F63" s="1347"/>
      <c r="G63" s="1338">
        <f>F63/F137*100</f>
        <v>0</v>
      </c>
      <c r="H63" s="1342">
        <f aca="true" t="shared" si="12" ref="H63:H69">D63-F63</f>
        <v>0</v>
      </c>
      <c r="I63" s="1341">
        <f>J63-'[17]Anexo 2 _ DP FUNC'!H63</f>
        <v>0</v>
      </c>
      <c r="J63" s="431"/>
      <c r="K63" s="1338">
        <f>J63/J137*100</f>
        <v>0</v>
      </c>
      <c r="L63" s="131">
        <f aca="true" t="shared" si="13" ref="L63:L69">D63-J63</f>
        <v>0</v>
      </c>
      <c r="M63" s="427"/>
      <c r="N63" s="129"/>
    </row>
    <row r="64" spans="1:14" s="113" customFormat="1" ht="18" customHeight="1">
      <c r="A64" s="1451" t="s">
        <v>132</v>
      </c>
      <c r="B64" s="1451"/>
      <c r="C64" s="145"/>
      <c r="D64" s="146"/>
      <c r="E64" s="618">
        <f>F64-'[17]Anexo 2 _ DP FUNC'!F64</f>
        <v>0</v>
      </c>
      <c r="F64" s="1347"/>
      <c r="G64" s="1338">
        <f>F64/F137*100</f>
        <v>0</v>
      </c>
      <c r="H64" s="1342">
        <f t="shared" si="12"/>
        <v>0</v>
      </c>
      <c r="I64" s="1341">
        <f>J64-'[17]Anexo 2 _ DP FUNC'!H64</f>
        <v>0</v>
      </c>
      <c r="J64" s="431"/>
      <c r="K64" s="1338">
        <f>J64/J137*100</f>
        <v>0</v>
      </c>
      <c r="L64" s="131">
        <f t="shared" si="13"/>
        <v>0</v>
      </c>
      <c r="M64" s="427"/>
      <c r="N64" s="129"/>
    </row>
    <row r="65" spans="1:14" s="113" customFormat="1" ht="18" customHeight="1">
      <c r="A65" s="1451" t="s">
        <v>145</v>
      </c>
      <c r="B65" s="1451"/>
      <c r="C65" s="131">
        <v>428122347.61</v>
      </c>
      <c r="D65" s="132">
        <v>409170982.22</v>
      </c>
      <c r="E65" s="618">
        <f>F65-'[17]Anexo 2 _ DP FUNC'!F65</f>
        <v>42022584.78999999</v>
      </c>
      <c r="F65" s="1347">
        <v>150134523.38</v>
      </c>
      <c r="G65" s="1338">
        <f>F65/F137*100</f>
        <v>9.461395047362817</v>
      </c>
      <c r="H65" s="1342">
        <f t="shared" si="12"/>
        <v>259036458.84000003</v>
      </c>
      <c r="I65" s="1341">
        <f>J65-'[17]Anexo 2 _ DP FUNC'!H65</f>
        <v>67617103.59</v>
      </c>
      <c r="J65" s="432">
        <v>115114283.83</v>
      </c>
      <c r="K65" s="1338">
        <f>J65/J137*100</f>
        <v>16.833041689231717</v>
      </c>
      <c r="L65" s="131">
        <f t="shared" si="13"/>
        <v>294056698.39000005</v>
      </c>
      <c r="M65" s="427"/>
      <c r="N65" s="129"/>
    </row>
    <row r="66" spans="1:14" s="113" customFormat="1" ht="18" customHeight="1">
      <c r="A66" s="1451" t="s">
        <v>146</v>
      </c>
      <c r="B66" s="1451"/>
      <c r="C66" s="131">
        <v>81482236.92</v>
      </c>
      <c r="D66" s="132">
        <v>81274734.34</v>
      </c>
      <c r="E66" s="618">
        <f>F66-'[17]Anexo 2 _ DP FUNC'!F66</f>
        <v>1631397.6000000015</v>
      </c>
      <c r="F66" s="1333">
        <v>15174531.55</v>
      </c>
      <c r="G66" s="1338">
        <f>F66/F137*100</f>
        <v>0.9562906280378323</v>
      </c>
      <c r="H66" s="1342">
        <f t="shared" si="12"/>
        <v>66100202.79000001</v>
      </c>
      <c r="I66" s="1341">
        <f>J66-'[17]Anexo 2 _ DP FUNC'!H66</f>
        <v>6767560.55</v>
      </c>
      <c r="J66" s="432">
        <v>10851415.93</v>
      </c>
      <c r="K66" s="1338">
        <f>J66/J137*100</f>
        <v>1.5867912361478762</v>
      </c>
      <c r="L66" s="131">
        <f t="shared" si="13"/>
        <v>70423318.41</v>
      </c>
      <c r="M66" s="427"/>
      <c r="N66" s="129"/>
    </row>
    <row r="67" spans="1:14" s="113" customFormat="1" ht="18" customHeight="1">
      <c r="A67" s="1451" t="s">
        <v>147</v>
      </c>
      <c r="B67" s="1451"/>
      <c r="C67" s="131">
        <v>20281967.35</v>
      </c>
      <c r="D67" s="132">
        <v>22999975.49</v>
      </c>
      <c r="E67" s="618">
        <f>F67-'[17]Anexo 2 _ DP FUNC'!F67</f>
        <v>4147864.85</v>
      </c>
      <c r="F67" s="1333">
        <v>6783337.42</v>
      </c>
      <c r="G67" s="1338">
        <f>F67/F137*100</f>
        <v>0.42748219147261435</v>
      </c>
      <c r="H67" s="1342">
        <f t="shared" si="12"/>
        <v>16216638.069999998</v>
      </c>
      <c r="I67" s="1341">
        <f>J67-'[17]Anexo 2 _ DP FUNC'!H67</f>
        <v>2036662.5999999999</v>
      </c>
      <c r="J67" s="432">
        <v>3717513.15</v>
      </c>
      <c r="K67" s="1338">
        <f>J67/J137*100</f>
        <v>0.5436080714938077</v>
      </c>
      <c r="L67" s="131">
        <f t="shared" si="13"/>
        <v>19282462.34</v>
      </c>
      <c r="M67" s="427"/>
      <c r="N67" s="129"/>
    </row>
    <row r="68" spans="1:13" s="113" customFormat="1" ht="15" customHeight="1">
      <c r="A68" s="1451" t="s">
        <v>148</v>
      </c>
      <c r="B68" s="1451"/>
      <c r="C68" s="131">
        <v>8831267.12</v>
      </c>
      <c r="D68" s="132">
        <f>C68</f>
        <v>8831267.12</v>
      </c>
      <c r="E68" s="618">
        <f>F68-'[17]Anexo 2 _ DP FUNC'!F68</f>
        <v>885083.2000000001</v>
      </c>
      <c r="F68" s="1333">
        <v>1594388.78</v>
      </c>
      <c r="G68" s="1338">
        <f>F68/F137*100</f>
        <v>0.10047750355513764</v>
      </c>
      <c r="H68" s="1342">
        <f t="shared" si="12"/>
        <v>7236878.339999999</v>
      </c>
      <c r="I68" s="1341">
        <f>J68-'[17]Anexo 2 _ DP FUNC'!H68</f>
        <v>885083.2000000001</v>
      </c>
      <c r="J68" s="432">
        <v>1594388.78</v>
      </c>
      <c r="K68" s="1338">
        <f>J68/J137*100</f>
        <v>0.23314580875313518</v>
      </c>
      <c r="L68" s="131">
        <f t="shared" si="13"/>
        <v>7236878.339999999</v>
      </c>
      <c r="M68" s="427"/>
    </row>
    <row r="69" spans="1:14" s="113" customFormat="1" ht="18" customHeight="1">
      <c r="A69" s="1450" t="s">
        <v>149</v>
      </c>
      <c r="B69" s="1450"/>
      <c r="C69" s="134"/>
      <c r="D69" s="137"/>
      <c r="E69" s="618">
        <f>F69-'[17]Anexo 2 _ DP FUNC'!F69</f>
        <v>0</v>
      </c>
      <c r="F69" s="1334"/>
      <c r="G69" s="1339">
        <f>F69/F137*100</f>
        <v>0</v>
      </c>
      <c r="H69" s="1342">
        <f t="shared" si="12"/>
        <v>0</v>
      </c>
      <c r="I69" s="1341">
        <f>J69-'[17]Anexo 2 _ DP FUNC'!H69</f>
        <v>0</v>
      </c>
      <c r="J69" s="433"/>
      <c r="K69" s="1339">
        <f>J69/J137*100</f>
        <v>0</v>
      </c>
      <c r="L69" s="1090">
        <f t="shared" si="13"/>
        <v>0</v>
      </c>
      <c r="M69" s="943"/>
      <c r="N69" s="129"/>
    </row>
    <row r="70" spans="1:14" s="130" customFormat="1" ht="18" customHeight="1">
      <c r="A70" s="1468" t="s">
        <v>150</v>
      </c>
      <c r="B70" s="1468"/>
      <c r="C70" s="147">
        <f aca="true" t="shared" si="14" ref="C70:H70">C73+C74+C71+C72</f>
        <v>21024012</v>
      </c>
      <c r="D70" s="147">
        <f t="shared" si="14"/>
        <v>23273862</v>
      </c>
      <c r="E70" s="517">
        <f t="shared" si="14"/>
        <v>617510</v>
      </c>
      <c r="F70" s="518">
        <f t="shared" si="14"/>
        <v>9365273.11</v>
      </c>
      <c r="G70" s="1337">
        <f>F70/F137*100</f>
        <v>0.5901943578685117</v>
      </c>
      <c r="H70" s="908">
        <f t="shared" si="14"/>
        <v>13908588.89</v>
      </c>
      <c r="I70" s="1325">
        <f>I73+I74+I71+I72</f>
        <v>2608221.02</v>
      </c>
      <c r="J70" s="1034">
        <f>J71+J72+J73+J74</f>
        <v>6682848.45</v>
      </c>
      <c r="K70" s="1337">
        <f>J70/J137*100</f>
        <v>0.9772259603143254</v>
      </c>
      <c r="L70" s="942">
        <f>L71+L72+L73+L74</f>
        <v>16591013.55</v>
      </c>
      <c r="M70" s="942">
        <f>M71+M72+M73+M74</f>
        <v>0</v>
      </c>
      <c r="N70" s="410"/>
    </row>
    <row r="71" spans="1:14" ht="18" customHeight="1">
      <c r="A71" s="1466" t="s">
        <v>111</v>
      </c>
      <c r="B71" s="1466"/>
      <c r="C71" s="131">
        <v>14159237</v>
      </c>
      <c r="D71" s="142">
        <v>16409087</v>
      </c>
      <c r="E71" s="618">
        <f>F71-'[17]Anexo 2 _ DP FUNC'!F71</f>
        <v>617510</v>
      </c>
      <c r="F71" s="513">
        <v>9365273.11</v>
      </c>
      <c r="G71" s="1338">
        <f>F71/F137*100</f>
        <v>0.5901943578685117</v>
      </c>
      <c r="H71" s="1342">
        <f>D71-F71</f>
        <v>7043813.890000001</v>
      </c>
      <c r="I71" s="1341">
        <f>J71-'[17]Anexo 2 _ DP FUNC'!H71</f>
        <v>2608221.02</v>
      </c>
      <c r="J71" s="432">
        <v>6682848.45</v>
      </c>
      <c r="K71" s="1338">
        <f>J71/J137*100</f>
        <v>0.9772259603143254</v>
      </c>
      <c r="L71" s="131">
        <f>D71-J71</f>
        <v>9726238.55</v>
      </c>
      <c r="M71" s="427"/>
      <c r="N71" s="129"/>
    </row>
    <row r="72" spans="1:14" ht="18" customHeight="1">
      <c r="A72" s="1466" t="s">
        <v>143</v>
      </c>
      <c r="B72" s="1466"/>
      <c r="C72" s="131"/>
      <c r="D72" s="142"/>
      <c r="E72" s="618">
        <f>F72-'[17]Anexo 2 _ DP FUNC'!F72</f>
        <v>0</v>
      </c>
      <c r="F72" s="513"/>
      <c r="G72" s="1338">
        <f>F72/F137*100</f>
        <v>0</v>
      </c>
      <c r="H72" s="1342">
        <f>D72-F72</f>
        <v>0</v>
      </c>
      <c r="I72" s="1341">
        <f>J72-'[17]Anexo 2 _ DP FUNC'!H72</f>
        <v>0</v>
      </c>
      <c r="J72" s="432"/>
      <c r="K72" s="1338">
        <f>J72/J137*100</f>
        <v>0</v>
      </c>
      <c r="L72" s="131">
        <f>D72-J72</f>
        <v>0</v>
      </c>
      <c r="M72" s="427"/>
      <c r="N72" s="129"/>
    </row>
    <row r="73" spans="1:14" ht="18" customHeight="1">
      <c r="A73" s="1466" t="s">
        <v>151</v>
      </c>
      <c r="B73" s="1466"/>
      <c r="C73" s="131">
        <v>6864775</v>
      </c>
      <c r="D73" s="142">
        <f>C73</f>
        <v>6864775</v>
      </c>
      <c r="E73" s="618">
        <f>F73-'[17]Anexo 2 _ DP FUNC'!F73</f>
        <v>0</v>
      </c>
      <c r="F73" s="513">
        <v>0</v>
      </c>
      <c r="G73" s="1338">
        <f>F73/F137*100</f>
        <v>0</v>
      </c>
      <c r="H73" s="1342">
        <f>D73-F73</f>
        <v>6864775</v>
      </c>
      <c r="I73" s="1341">
        <f>J73-'[17]Anexo 2 _ DP FUNC'!H73</f>
        <v>0</v>
      </c>
      <c r="J73" s="432">
        <v>0</v>
      </c>
      <c r="K73" s="1338">
        <f>J73/J137*100</f>
        <v>0</v>
      </c>
      <c r="L73" s="131">
        <f>D73-J73</f>
        <v>6864775</v>
      </c>
      <c r="M73" s="427"/>
      <c r="N73" s="129"/>
    </row>
    <row r="74" spans="1:14" ht="18" customHeight="1">
      <c r="A74" s="1465" t="s">
        <v>152</v>
      </c>
      <c r="B74" s="1465"/>
      <c r="C74" s="134"/>
      <c r="D74" s="135"/>
      <c r="E74" s="618">
        <f>F74-'[17]Anexo 2 _ DP FUNC'!F74</f>
        <v>0</v>
      </c>
      <c r="F74" s="522"/>
      <c r="G74" s="1339">
        <f>F74/F137*100</f>
        <v>0</v>
      </c>
      <c r="H74" s="1342">
        <f>D74-F74</f>
        <v>0</v>
      </c>
      <c r="I74" s="1341">
        <f>J74-'[17]Anexo 2 _ DP FUNC'!H74</f>
        <v>0</v>
      </c>
      <c r="J74" s="433"/>
      <c r="K74" s="1339">
        <f>J74/J137*100</f>
        <v>0</v>
      </c>
      <c r="L74" s="131">
        <f>D74-J74</f>
        <v>0</v>
      </c>
      <c r="M74" s="943"/>
      <c r="N74" s="129"/>
    </row>
    <row r="75" spans="1:15" s="124" customFormat="1" ht="18" customHeight="1">
      <c r="A75" s="1468" t="s">
        <v>153</v>
      </c>
      <c r="B75" s="1468"/>
      <c r="C75" s="147">
        <f aca="true" t="shared" si="15" ref="C75:J75">C78+C77+C76</f>
        <v>25015754</v>
      </c>
      <c r="D75" s="147">
        <f t="shared" si="15"/>
        <v>25115754</v>
      </c>
      <c r="E75" s="517">
        <f t="shared" si="15"/>
        <v>-455942.03000000014</v>
      </c>
      <c r="F75" s="518">
        <f t="shared" si="15"/>
        <v>3080059.05</v>
      </c>
      <c r="G75" s="1337">
        <f>F75/F137*100</f>
        <v>0.19410362643571086</v>
      </c>
      <c r="H75" s="908">
        <f t="shared" si="15"/>
        <v>22035694.950000003</v>
      </c>
      <c r="I75" s="1325">
        <f>I78+I77+I76</f>
        <v>1608907.39</v>
      </c>
      <c r="J75" s="1059">
        <f t="shared" si="15"/>
        <v>1897393.97</v>
      </c>
      <c r="K75" s="1337">
        <f>J75/J137*100</f>
        <v>0.27745394172867416</v>
      </c>
      <c r="L75" s="945">
        <f>L76+L77+L78</f>
        <v>23218360.03</v>
      </c>
      <c r="M75" s="945">
        <f>M76+M77+M78</f>
        <v>0</v>
      </c>
      <c r="N75" s="410"/>
      <c r="O75" s="130"/>
    </row>
    <row r="76" spans="1:14" ht="18" customHeight="1">
      <c r="A76" s="1466" t="s">
        <v>111</v>
      </c>
      <c r="B76" s="1466"/>
      <c r="C76" s="142">
        <v>2194323</v>
      </c>
      <c r="D76" s="142">
        <f>C76</f>
        <v>2194323</v>
      </c>
      <c r="E76" s="618">
        <f>F76-'[17]Anexo 2 _ DP FUNC'!F76</f>
        <v>22857.600000000093</v>
      </c>
      <c r="F76" s="513">
        <v>1349180.58</v>
      </c>
      <c r="G76" s="1338">
        <f>F76/F137*100</f>
        <v>0.08502461772433738</v>
      </c>
      <c r="H76" s="1342">
        <f>D76-F76</f>
        <v>845142.4199999999</v>
      </c>
      <c r="I76" s="1341">
        <f>J76-'[17]Anexo 2 _ DP FUNC'!H76</f>
        <v>250342.80999999997</v>
      </c>
      <c r="J76" s="132">
        <v>454715.47</v>
      </c>
      <c r="K76" s="1338">
        <f>J76/J137*100</f>
        <v>0.06649256902429529</v>
      </c>
      <c r="L76" s="131">
        <f>D76-J76</f>
        <v>1739607.53</v>
      </c>
      <c r="M76" s="427"/>
      <c r="N76" s="129"/>
    </row>
    <row r="77" spans="1:14" ht="18" customHeight="1">
      <c r="A77" s="382" t="s">
        <v>154</v>
      </c>
      <c r="B77" s="387"/>
      <c r="C77" s="131">
        <v>21818431</v>
      </c>
      <c r="D77" s="142">
        <f>C77</f>
        <v>21818431</v>
      </c>
      <c r="E77" s="1369">
        <f>F77-'[17]Anexo 2 _ DP FUNC'!F77</f>
        <v>-546976.0000000002</v>
      </c>
      <c r="F77" s="513">
        <v>1628988.18</v>
      </c>
      <c r="G77" s="1338">
        <f>F77/F137*100</f>
        <v>0.10265793870377535</v>
      </c>
      <c r="H77" s="1342">
        <f>D77-F77</f>
        <v>20189442.82</v>
      </c>
      <c r="I77" s="1341">
        <f>J77-'[17]Anexo 2 _ DP FUNC'!H77</f>
        <v>1329570.66</v>
      </c>
      <c r="J77" s="136">
        <v>1379970.66</v>
      </c>
      <c r="K77" s="1338">
        <f>J77/J137*100</f>
        <v>0.20179167064967532</v>
      </c>
      <c r="L77" s="131">
        <f>D77-J77</f>
        <v>20438460.34</v>
      </c>
      <c r="M77" s="427"/>
      <c r="N77" s="129"/>
    </row>
    <row r="78" spans="1:14" ht="18" customHeight="1">
      <c r="A78" s="1465" t="s">
        <v>801</v>
      </c>
      <c r="B78" s="1465"/>
      <c r="C78" s="134">
        <v>1003000</v>
      </c>
      <c r="D78" s="135">
        <v>1103000</v>
      </c>
      <c r="E78" s="618">
        <f>F78-'[17]Anexo 2 _ DP FUNC'!F78</f>
        <v>68176.37</v>
      </c>
      <c r="F78" s="522">
        <v>101890.29</v>
      </c>
      <c r="G78" s="1339">
        <f>F78/F137*100</f>
        <v>0.006421070007598149</v>
      </c>
      <c r="H78" s="1343">
        <f>D78-F78</f>
        <v>1001109.71</v>
      </c>
      <c r="I78" s="1361">
        <f>J78-'[17]Anexo 2 _ DP FUNC'!H78</f>
        <v>28993.92</v>
      </c>
      <c r="J78" s="138">
        <v>62707.84</v>
      </c>
      <c r="K78" s="1339">
        <f>J78/J137*100</f>
        <v>0.009169702054703494</v>
      </c>
      <c r="L78" s="1090">
        <f>D78-J78</f>
        <v>1040292.16</v>
      </c>
      <c r="M78" s="943"/>
      <c r="N78" s="129"/>
    </row>
    <row r="79" spans="1:15" s="139" customFormat="1" ht="12" customHeight="1">
      <c r="A79" s="382"/>
      <c r="B79" s="382"/>
      <c r="C79" s="132"/>
      <c r="D79" s="132"/>
      <c r="E79" s="910"/>
      <c r="F79" s="132"/>
      <c r="G79" s="132"/>
      <c r="H79" s="132"/>
      <c r="I79" s="910"/>
      <c r="J79" s="485"/>
      <c r="K79" s="132"/>
      <c r="L79" s="1313"/>
      <c r="M79" s="148"/>
      <c r="N79" s="129"/>
      <c r="O79" s="224"/>
    </row>
    <row r="80" spans="1:15" s="114" customFormat="1" ht="18" customHeight="1">
      <c r="A80" s="972"/>
      <c r="B80" s="1469" t="s">
        <v>93</v>
      </c>
      <c r="C80" s="1469"/>
      <c r="D80" s="1469"/>
      <c r="E80" s="973"/>
      <c r="F80" s="972"/>
      <c r="G80" s="972"/>
      <c r="H80" s="972"/>
      <c r="I80" s="393"/>
      <c r="J80" s="149"/>
      <c r="K80" s="149"/>
      <c r="L80" s="115"/>
      <c r="M80" s="115"/>
      <c r="N80" s="414"/>
      <c r="O80" s="115"/>
    </row>
    <row r="81" spans="1:15" s="114" customFormat="1" ht="15" customHeight="1">
      <c r="A81" s="972"/>
      <c r="B81" s="1470" t="s">
        <v>94</v>
      </c>
      <c r="C81" s="1470"/>
      <c r="D81" s="1470"/>
      <c r="E81" s="1470"/>
      <c r="F81" s="1470"/>
      <c r="G81" s="1312"/>
      <c r="H81" s="1312"/>
      <c r="I81" s="393"/>
      <c r="J81" s="149"/>
      <c r="K81" s="149"/>
      <c r="L81" s="614"/>
      <c r="M81" s="614"/>
      <c r="N81" s="414"/>
      <c r="O81" s="115"/>
    </row>
    <row r="82" spans="1:15" s="114" customFormat="1" ht="15" customHeight="1">
      <c r="A82" s="972"/>
      <c r="B82" s="1470" t="s">
        <v>95</v>
      </c>
      <c r="C82" s="1470"/>
      <c r="D82" s="1470"/>
      <c r="E82" s="1470"/>
      <c r="F82" s="1470"/>
      <c r="G82" s="1312"/>
      <c r="H82" s="1312"/>
      <c r="I82" s="393"/>
      <c r="J82" s="149"/>
      <c r="K82" s="615" t="str">
        <f>K4</f>
        <v>Publicação: Diário Oficial do Município nº 96</v>
      </c>
      <c r="M82" s="614"/>
      <c r="N82" s="414"/>
      <c r="O82" s="115"/>
    </row>
    <row r="83" spans="1:15" s="114" customFormat="1" ht="15.75" customHeight="1">
      <c r="A83" s="972"/>
      <c r="B83" s="1470" t="s">
        <v>96</v>
      </c>
      <c r="C83" s="1470"/>
      <c r="D83" s="1470"/>
      <c r="E83" s="973"/>
      <c r="F83" s="972"/>
      <c r="G83" s="972"/>
      <c r="H83" s="972"/>
      <c r="I83" s="393"/>
      <c r="J83" s="149"/>
      <c r="K83" s="415" t="str">
        <f>K5</f>
        <v>Data: 22/05/2015</v>
      </c>
      <c r="M83" s="115"/>
      <c r="N83" s="414"/>
      <c r="O83" s="115"/>
    </row>
    <row r="84" spans="1:15" s="119" customFormat="1" ht="21" customHeight="1">
      <c r="A84" s="1460" t="str">
        <f>A5</f>
        <v>Referência: JANEIRO-ABRIL/2015; BIMESTRE: MARÇO-ABRIL/2015</v>
      </c>
      <c r="B84" s="1460"/>
      <c r="C84" s="1460"/>
      <c r="D84" s="1460"/>
      <c r="E84" s="1460"/>
      <c r="F84" s="1460"/>
      <c r="G84" s="1311"/>
      <c r="H84" s="1311"/>
      <c r="I84" s="116"/>
      <c r="J84" s="116"/>
      <c r="K84" s="116"/>
      <c r="L84" s="116"/>
      <c r="M84" s="118"/>
      <c r="N84" s="396"/>
      <c r="O84" s="397"/>
    </row>
    <row r="85" spans="1:14" ht="13.5" customHeight="1">
      <c r="A85" s="113"/>
      <c r="B85" s="113"/>
      <c r="C85" s="113"/>
      <c r="H85" s="597"/>
      <c r="N85" s="129"/>
    </row>
    <row r="86" spans="1:15" s="122" customFormat="1" ht="12.75">
      <c r="A86" s="398" t="s">
        <v>648</v>
      </c>
      <c r="B86" s="399"/>
      <c r="C86" s="399"/>
      <c r="D86" s="399"/>
      <c r="E86" s="394"/>
      <c r="F86" s="121"/>
      <c r="G86" s="121"/>
      <c r="H86" s="121"/>
      <c r="I86" s="394"/>
      <c r="J86" s="121"/>
      <c r="K86" s="121"/>
      <c r="L86" s="121"/>
      <c r="M86" s="400" t="s">
        <v>540</v>
      </c>
      <c r="N86" s="129"/>
      <c r="O86" s="121"/>
    </row>
    <row r="87" spans="1:15" s="124" customFormat="1" ht="15.75" customHeight="1">
      <c r="A87" s="1461" t="s">
        <v>97</v>
      </c>
      <c r="B87" s="1461"/>
      <c r="C87" s="401" t="s">
        <v>98</v>
      </c>
      <c r="D87" s="402" t="s">
        <v>98</v>
      </c>
      <c r="E87" s="1452" t="s">
        <v>646</v>
      </c>
      <c r="F87" s="1453"/>
      <c r="G87" s="1454"/>
      <c r="H87" s="1452" t="s">
        <v>945</v>
      </c>
      <c r="I87" s="1443" t="s">
        <v>257</v>
      </c>
      <c r="J87" s="1443"/>
      <c r="K87" s="1444"/>
      <c r="L87" s="1445" t="s">
        <v>298</v>
      </c>
      <c r="M87" s="1448" t="s">
        <v>239</v>
      </c>
      <c r="N87" s="403"/>
      <c r="O87" s="130"/>
    </row>
    <row r="88" spans="1:15" s="124" customFormat="1" ht="16.5" customHeight="1">
      <c r="A88" s="1461"/>
      <c r="B88" s="1461"/>
      <c r="C88" s="404"/>
      <c r="D88" s="405"/>
      <c r="E88" s="1455"/>
      <c r="F88" s="1456"/>
      <c r="G88" s="1457"/>
      <c r="H88" s="1458"/>
      <c r="I88" s="1443"/>
      <c r="J88" s="1443"/>
      <c r="K88" s="1444"/>
      <c r="L88" s="1446"/>
      <c r="M88" s="1448"/>
      <c r="N88" s="403"/>
      <c r="O88" s="130"/>
    </row>
    <row r="89" spans="1:15" s="124" customFormat="1" ht="14.25" customHeight="1">
      <c r="A89" s="1461"/>
      <c r="B89" s="1461"/>
      <c r="C89" s="404" t="s">
        <v>100</v>
      </c>
      <c r="D89" s="405" t="s">
        <v>101</v>
      </c>
      <c r="E89" s="878" t="s">
        <v>102</v>
      </c>
      <c r="F89" s="409" t="s">
        <v>103</v>
      </c>
      <c r="G89" s="409" t="s">
        <v>99</v>
      </c>
      <c r="H89" s="1458"/>
      <c r="I89" s="878" t="s">
        <v>102</v>
      </c>
      <c r="J89" s="409" t="s">
        <v>103</v>
      </c>
      <c r="K89" s="409" t="s">
        <v>99</v>
      </c>
      <c r="L89" s="1447"/>
      <c r="M89" s="1448"/>
      <c r="N89" s="130"/>
      <c r="O89" s="130"/>
    </row>
    <row r="90" spans="1:15" s="124" customFormat="1" ht="15" customHeight="1">
      <c r="A90" s="406"/>
      <c r="B90" s="407"/>
      <c r="C90" s="407"/>
      <c r="D90" s="408" t="s">
        <v>105</v>
      </c>
      <c r="E90" s="392"/>
      <c r="F90" s="125" t="s">
        <v>106</v>
      </c>
      <c r="G90" s="409" t="s">
        <v>104</v>
      </c>
      <c r="H90" s="1471"/>
      <c r="I90" s="392"/>
      <c r="J90" s="125" t="s">
        <v>427</v>
      </c>
      <c r="K90" s="1328" t="s">
        <v>946</v>
      </c>
      <c r="L90" s="1328" t="s">
        <v>947</v>
      </c>
      <c r="M90" s="1329" t="s">
        <v>948</v>
      </c>
      <c r="N90" s="130"/>
      <c r="O90" s="130"/>
    </row>
    <row r="91" spans="1:15" s="124" customFormat="1" ht="18" customHeight="1">
      <c r="A91" s="1468" t="s">
        <v>155</v>
      </c>
      <c r="B91" s="1468"/>
      <c r="C91" s="143">
        <f>C92+C93+C94+C95+C97+C96</f>
        <v>252419558</v>
      </c>
      <c r="D91" s="143">
        <f>D92+D93+D94+D95+D97+D96</f>
        <v>276623431.26</v>
      </c>
      <c r="E91" s="143">
        <f>E92+E93+E94+E95+E97+E96</f>
        <v>16001555.070000002</v>
      </c>
      <c r="F91" s="1330">
        <f>F92+F93+F94+F95+F97+F96</f>
        <v>76595102.7</v>
      </c>
      <c r="G91" s="1337">
        <f>F91/F137*100</f>
        <v>4.826981223391061</v>
      </c>
      <c r="H91" s="151">
        <f>H92+H93+H94+H95+H97+H96</f>
        <v>200028328.56</v>
      </c>
      <c r="I91" s="143">
        <f>I92+I93+I94+I95+I97+I96</f>
        <v>24480781.47</v>
      </c>
      <c r="J91" s="143">
        <f>J92+J93+J94+J95+J96+J97</f>
        <v>35960172.989999995</v>
      </c>
      <c r="K91" s="1337">
        <f>J91/J137*100</f>
        <v>5.258418598916755</v>
      </c>
      <c r="L91" s="946">
        <f>SUM(L92:L97)</f>
        <v>240663258.26999998</v>
      </c>
      <c r="M91" s="946">
        <f>SUM(M92:M97)</f>
        <v>0</v>
      </c>
      <c r="N91" s="410"/>
      <c r="O91" s="130"/>
    </row>
    <row r="92" spans="1:14" ht="18" customHeight="1">
      <c r="A92" s="1466" t="s">
        <v>111</v>
      </c>
      <c r="B92" s="1466"/>
      <c r="C92" s="131">
        <v>11317997</v>
      </c>
      <c r="D92" s="131">
        <v>6577199</v>
      </c>
      <c r="E92" s="618">
        <f>F92-'[17]Anexo 2 _ DP FUNC'!F92</f>
        <v>193421.22999999998</v>
      </c>
      <c r="F92" s="513">
        <v>2970435.29</v>
      </c>
      <c r="G92" s="1338">
        <f>F92/F137*100</f>
        <v>0.1871951974042876</v>
      </c>
      <c r="H92" s="507">
        <f aca="true" t="shared" si="16" ref="H92:H97">D92-F92</f>
        <v>3606763.71</v>
      </c>
      <c r="I92" s="618">
        <f>J92-'[17]Anexo 2 _ DP FUNC'!H92</f>
        <v>478148.88</v>
      </c>
      <c r="J92" s="131">
        <v>856561.36</v>
      </c>
      <c r="K92" s="1338">
        <f>J92/J137*100</f>
        <v>0.12525407449485773</v>
      </c>
      <c r="L92" s="131">
        <f aca="true" t="shared" si="17" ref="L92:L97">D92-J92</f>
        <v>5720637.64</v>
      </c>
      <c r="M92" s="432"/>
      <c r="N92" s="129"/>
    </row>
    <row r="93" spans="1:14" ht="18" customHeight="1">
      <c r="A93" s="1466" t="s">
        <v>156</v>
      </c>
      <c r="B93" s="1466"/>
      <c r="C93" s="131">
        <v>3297960</v>
      </c>
      <c r="D93" s="131">
        <f>C93</f>
        <v>3297960</v>
      </c>
      <c r="E93" s="618">
        <f>F93-'[17]Anexo 2 _ DP FUNC'!F93</f>
        <v>454872.44999999995</v>
      </c>
      <c r="F93" s="513">
        <v>725876.82</v>
      </c>
      <c r="G93" s="1338">
        <f>F93/F137*100</f>
        <v>0.04574435776081038</v>
      </c>
      <c r="H93" s="507">
        <f t="shared" si="16"/>
        <v>2572083.18</v>
      </c>
      <c r="I93" s="618">
        <f>J93-'[17]Anexo 2 _ DP FUNC'!H93</f>
        <v>148347.45</v>
      </c>
      <c r="J93" s="131">
        <v>419351.82</v>
      </c>
      <c r="K93" s="1338">
        <f>J93/J137*100</f>
        <v>0.06132137936018288</v>
      </c>
      <c r="L93" s="131">
        <f t="shared" si="17"/>
        <v>2878608.18</v>
      </c>
      <c r="M93" s="432"/>
      <c r="N93" s="129"/>
    </row>
    <row r="94" spans="1:14" ht="18" customHeight="1">
      <c r="A94" s="382" t="s">
        <v>157</v>
      </c>
      <c r="B94" s="386"/>
      <c r="C94" s="131"/>
      <c r="D94" s="131"/>
      <c r="E94" s="618">
        <f>F94-'[17]Anexo 2 _ DP FUNC'!F94</f>
        <v>0</v>
      </c>
      <c r="F94" s="513"/>
      <c r="G94" s="1338">
        <f>F94/F137*100</f>
        <v>0</v>
      </c>
      <c r="H94" s="507">
        <f t="shared" si="16"/>
        <v>0</v>
      </c>
      <c r="I94" s="618">
        <f>J94-'[17]Anexo 2 _ DP FUNC'!H94</f>
        <v>0</v>
      </c>
      <c r="J94" s="131"/>
      <c r="K94" s="1338">
        <f>J94/J137*100</f>
        <v>0</v>
      </c>
      <c r="L94" s="131">
        <f t="shared" si="17"/>
        <v>0</v>
      </c>
      <c r="M94" s="432"/>
      <c r="N94" s="129"/>
    </row>
    <row r="95" spans="1:14" ht="18" customHeight="1">
      <c r="A95" s="382" t="s">
        <v>158</v>
      </c>
      <c r="B95" s="386"/>
      <c r="C95" s="131">
        <v>169434646</v>
      </c>
      <c r="D95" s="131">
        <v>198359317.26</v>
      </c>
      <c r="E95" s="618">
        <f>F95-'[17]Anexo 2 _ DP FUNC'!F95</f>
        <v>13992790.780000001</v>
      </c>
      <c r="F95" s="513">
        <v>45346484.89</v>
      </c>
      <c r="G95" s="1338">
        <f>F95/F137*100</f>
        <v>2.857710524498278</v>
      </c>
      <c r="H95" s="507">
        <f t="shared" si="16"/>
        <v>153012832.37</v>
      </c>
      <c r="I95" s="618">
        <f>J95-'[17]Anexo 2 _ DP FUNC'!H95</f>
        <v>12742616.79</v>
      </c>
      <c r="J95" s="131">
        <v>14974635.45</v>
      </c>
      <c r="K95" s="1338">
        <f>J95/J137*100</f>
        <v>2.189725327077137</v>
      </c>
      <c r="L95" s="131">
        <f t="shared" si="17"/>
        <v>183384681.81</v>
      </c>
      <c r="M95" s="432"/>
      <c r="N95" s="129"/>
    </row>
    <row r="96" spans="1:14" ht="18" customHeight="1">
      <c r="A96" s="382" t="s">
        <v>159</v>
      </c>
      <c r="B96" s="386"/>
      <c r="C96" s="131">
        <v>68251115</v>
      </c>
      <c r="D96" s="131">
        <v>68271115</v>
      </c>
      <c r="E96" s="618">
        <f>F96-'[17]Anexo 2 _ DP FUNC'!F96</f>
        <v>1358052.330000002</v>
      </c>
      <c r="F96" s="513">
        <v>27549887.42</v>
      </c>
      <c r="G96" s="1338">
        <f>F96/F137*100</f>
        <v>1.7361787450528168</v>
      </c>
      <c r="H96" s="507">
        <f t="shared" si="16"/>
        <v>40721227.58</v>
      </c>
      <c r="I96" s="618">
        <f>J96-'[17]Anexo 2 _ DP FUNC'!H96</f>
        <v>11110022.270000001</v>
      </c>
      <c r="J96" s="131">
        <v>19707978.28</v>
      </c>
      <c r="K96" s="1338">
        <f>J96/J137*100</f>
        <v>2.8818771134226253</v>
      </c>
      <c r="L96" s="131">
        <f t="shared" si="17"/>
        <v>48563136.72</v>
      </c>
      <c r="M96" s="432"/>
      <c r="N96" s="129"/>
    </row>
    <row r="97" spans="1:14" ht="18" customHeight="1">
      <c r="A97" s="133" t="s">
        <v>814</v>
      </c>
      <c r="B97" s="413"/>
      <c r="C97" s="134">
        <v>117840</v>
      </c>
      <c r="D97" s="134">
        <f>C97</f>
        <v>117840</v>
      </c>
      <c r="E97" s="618">
        <f>F97-'[17]Anexo 2 _ DP FUNC'!F97</f>
        <v>2418.28</v>
      </c>
      <c r="F97" s="513">
        <v>2418.28</v>
      </c>
      <c r="G97" s="1339">
        <f>F97/F137*100</f>
        <v>0.0001523986748685714</v>
      </c>
      <c r="H97" s="507">
        <f t="shared" si="16"/>
        <v>115421.72</v>
      </c>
      <c r="I97" s="618">
        <f>J97-'[17]Anexo 2 _ DP FUNC'!H97</f>
        <v>1646.08</v>
      </c>
      <c r="J97" s="134">
        <v>1646.08</v>
      </c>
      <c r="K97" s="1339">
        <f>J97/J137*100</f>
        <v>0.00024070456195280095</v>
      </c>
      <c r="L97" s="131">
        <f t="shared" si="17"/>
        <v>116193.92</v>
      </c>
      <c r="M97" s="947"/>
      <c r="N97" s="129"/>
    </row>
    <row r="98" spans="1:15" s="124" customFormat="1" ht="18" customHeight="1">
      <c r="A98" s="1468" t="s">
        <v>160</v>
      </c>
      <c r="B98" s="1468"/>
      <c r="C98" s="150">
        <f aca="true" t="shared" si="18" ref="C98:L98">C99</f>
        <v>27692670</v>
      </c>
      <c r="D98" s="150">
        <f t="shared" si="18"/>
        <v>27692670</v>
      </c>
      <c r="E98" s="515">
        <f t="shared" si="18"/>
        <v>0</v>
      </c>
      <c r="F98" s="1331">
        <f t="shared" si="18"/>
        <v>0</v>
      </c>
      <c r="G98" s="1337">
        <f>F98/F137*100</f>
        <v>0</v>
      </c>
      <c r="H98" s="1335">
        <f t="shared" si="18"/>
        <v>27692670</v>
      </c>
      <c r="I98" s="1018">
        <f t="shared" si="18"/>
        <v>0</v>
      </c>
      <c r="J98" s="434">
        <f t="shared" si="18"/>
        <v>0</v>
      </c>
      <c r="K98" s="1337">
        <f>J98/J137*100</f>
        <v>0</v>
      </c>
      <c r="L98" s="519">
        <f t="shared" si="18"/>
        <v>27692670</v>
      </c>
      <c r="M98" s="948">
        <f>M99</f>
        <v>0</v>
      </c>
      <c r="N98" s="410"/>
      <c r="O98" s="130"/>
    </row>
    <row r="99" spans="1:14" ht="18" customHeight="1">
      <c r="A99" s="1465" t="s">
        <v>161</v>
      </c>
      <c r="B99" s="1465"/>
      <c r="C99" s="134">
        <v>27692670</v>
      </c>
      <c r="D99" s="135">
        <f>C99</f>
        <v>27692670</v>
      </c>
      <c r="E99" s="618">
        <f>F99-'[17]Anexo 2 _ DP FUNC'!F99</f>
        <v>0</v>
      </c>
      <c r="F99" s="522">
        <v>0</v>
      </c>
      <c r="G99" s="1339">
        <f>F99/F137*100</f>
        <v>0</v>
      </c>
      <c r="H99" s="507">
        <f>D99-F99</f>
        <v>27692670</v>
      </c>
      <c r="I99" s="932">
        <f>J99-'[17]Anexo 2 _ DP FUNC'!H99</f>
        <v>0</v>
      </c>
      <c r="J99" s="138">
        <v>0</v>
      </c>
      <c r="K99" s="1339">
        <f>J99/J137*100</f>
        <v>0</v>
      </c>
      <c r="L99" s="131">
        <f>D99-J99</f>
        <v>27692670</v>
      </c>
      <c r="M99" s="432"/>
      <c r="N99" s="129"/>
    </row>
    <row r="100" spans="1:15" s="124" customFormat="1" ht="18" customHeight="1">
      <c r="A100" s="1468" t="s">
        <v>162</v>
      </c>
      <c r="B100" s="1468"/>
      <c r="C100" s="143">
        <f aca="true" t="shared" si="19" ref="C100:J100">C102+C101</f>
        <v>129525552</v>
      </c>
      <c r="D100" s="421">
        <f t="shared" si="19"/>
        <v>151483880.87</v>
      </c>
      <c r="E100" s="520">
        <f t="shared" si="19"/>
        <v>42429273.28999999</v>
      </c>
      <c r="F100" s="1332">
        <f t="shared" si="19"/>
        <v>119087917.19999999</v>
      </c>
      <c r="G100" s="1337">
        <f>F100/F137*100</f>
        <v>7.5048550102296465</v>
      </c>
      <c r="H100" s="1069">
        <f t="shared" si="19"/>
        <v>32395963.670000006</v>
      </c>
      <c r="I100" s="1069">
        <f t="shared" si="19"/>
        <v>58965802.089999996</v>
      </c>
      <c r="J100" s="144">
        <f t="shared" si="19"/>
        <v>75728662.43</v>
      </c>
      <c r="K100" s="1337">
        <f>J100/J137*100</f>
        <v>11.07372334120133</v>
      </c>
      <c r="L100" s="949">
        <f>L101+L102</f>
        <v>75755218.44</v>
      </c>
      <c r="M100" s="949">
        <f>M101+M102</f>
        <v>0</v>
      </c>
      <c r="N100" s="410"/>
      <c r="O100" s="130"/>
    </row>
    <row r="101" spans="1:14" ht="18" customHeight="1">
      <c r="A101" s="1466" t="s">
        <v>159</v>
      </c>
      <c r="B101" s="1466"/>
      <c r="C101" s="145">
        <v>102200000</v>
      </c>
      <c r="D101" s="146">
        <v>122200000</v>
      </c>
      <c r="E101" s="618">
        <f>F101-'[17]Anexo 2 _ DP FUNC'!F101</f>
        <v>41559247.81999999</v>
      </c>
      <c r="F101" s="521">
        <v>115937306.99</v>
      </c>
      <c r="G101" s="1338">
        <f>F101/F137*100</f>
        <v>7.306305288513637</v>
      </c>
      <c r="H101" s="507">
        <f>D101-F101</f>
        <v>6262693.010000005</v>
      </c>
      <c r="I101" s="932">
        <f>J101-'[17]Anexo 2 _ DP FUNC'!H101</f>
        <v>58315366.16</v>
      </c>
      <c r="J101" s="395">
        <v>75071484.5</v>
      </c>
      <c r="K101" s="1338">
        <f>J101/J137*100</f>
        <v>10.97762489776863</v>
      </c>
      <c r="L101" s="131">
        <f>D101-J101</f>
        <v>47128515.5</v>
      </c>
      <c r="M101" s="432"/>
      <c r="N101" s="129"/>
    </row>
    <row r="102" spans="1:14" ht="18" customHeight="1">
      <c r="A102" s="1465" t="s">
        <v>163</v>
      </c>
      <c r="B102" s="1465"/>
      <c r="C102" s="134">
        <v>27325552</v>
      </c>
      <c r="D102" s="137">
        <v>29283880.87</v>
      </c>
      <c r="E102" s="618">
        <f>F102-'[17]Anexo 2 _ DP FUNC'!F102</f>
        <v>870025.4699999997</v>
      </c>
      <c r="F102" s="522">
        <v>3150610.21</v>
      </c>
      <c r="G102" s="1339">
        <f>F102/F137*100</f>
        <v>0.19854972171600951</v>
      </c>
      <c r="H102" s="1358">
        <f>D102-F102</f>
        <v>26133270.66</v>
      </c>
      <c r="I102" s="932">
        <f>J102-'[17]Anexo 2 _ DP FUNC'!H102</f>
        <v>650435.93</v>
      </c>
      <c r="J102" s="138">
        <v>657177.93</v>
      </c>
      <c r="K102" s="1339">
        <f>J102/J137*100</f>
        <v>0.09609844343269981</v>
      </c>
      <c r="L102" s="1090">
        <f>D102-J102</f>
        <v>28626702.94</v>
      </c>
      <c r="M102" s="947"/>
      <c r="N102" s="129"/>
    </row>
    <row r="103" spans="1:15" s="124" customFormat="1" ht="18" customHeight="1">
      <c r="A103" s="1468" t="s">
        <v>164</v>
      </c>
      <c r="B103" s="1468"/>
      <c r="C103" s="152">
        <f aca="true" t="shared" si="20" ref="C103:L103">C104+C105+C106+C107</f>
        <v>1295735</v>
      </c>
      <c r="D103" s="152">
        <f t="shared" si="20"/>
        <v>1295735</v>
      </c>
      <c r="E103" s="909">
        <f t="shared" si="20"/>
        <v>0</v>
      </c>
      <c r="F103" s="152">
        <f t="shared" si="20"/>
        <v>0</v>
      </c>
      <c r="G103" s="1337">
        <f>F103/F137*100</f>
        <v>0</v>
      </c>
      <c r="H103" s="1019">
        <f t="shared" si="20"/>
        <v>1295735</v>
      </c>
      <c r="I103" s="1021">
        <f t="shared" si="20"/>
        <v>0</v>
      </c>
      <c r="J103" s="1019">
        <f t="shared" si="20"/>
        <v>0</v>
      </c>
      <c r="K103" s="1337">
        <f>J103/J137*100</f>
        <v>0</v>
      </c>
      <c r="L103" s="152">
        <f t="shared" si="20"/>
        <v>1295735</v>
      </c>
      <c r="M103" s="950">
        <f>M104+M105+M106+M107</f>
        <v>0</v>
      </c>
      <c r="N103" s="410"/>
      <c r="O103" s="130"/>
    </row>
    <row r="104" spans="1:14" ht="18" customHeight="1">
      <c r="A104" s="1466" t="s">
        <v>111</v>
      </c>
      <c r="B104" s="1466"/>
      <c r="C104" s="131"/>
      <c r="D104" s="131"/>
      <c r="E104" s="618">
        <f>F104-'[17]Anexo 2 _ DP FUNC'!F104</f>
        <v>0</v>
      </c>
      <c r="F104" s="1333"/>
      <c r="G104" s="1338">
        <f>F104/F137*100</f>
        <v>0</v>
      </c>
      <c r="H104" s="507">
        <f>D104-F104</f>
        <v>0</v>
      </c>
      <c r="I104" s="932">
        <f>J104-'[17]Anexo 2 _ DP FUNC'!H104</f>
        <v>0</v>
      </c>
      <c r="J104" s="136"/>
      <c r="K104" s="1338">
        <f>J104/J137*100</f>
        <v>0</v>
      </c>
      <c r="L104" s="131">
        <f>D104-J104</f>
        <v>0</v>
      </c>
      <c r="M104" s="427"/>
      <c r="N104" s="129"/>
    </row>
    <row r="105" spans="1:14" ht="18" customHeight="1">
      <c r="A105" s="1466" t="s">
        <v>165</v>
      </c>
      <c r="B105" s="1466"/>
      <c r="C105" s="131"/>
      <c r="D105" s="131"/>
      <c r="E105" s="618">
        <f>F105-'[17]Anexo 2 _ DP FUNC'!F105</f>
        <v>0</v>
      </c>
      <c r="F105" s="1333"/>
      <c r="G105" s="1338">
        <f>F105/F137*100</f>
        <v>0</v>
      </c>
      <c r="H105" s="507">
        <f>D105-F105</f>
        <v>0</v>
      </c>
      <c r="I105" s="932">
        <f>J105-'[17]Anexo 2 _ DP FUNC'!H105</f>
        <v>0</v>
      </c>
      <c r="J105" s="136"/>
      <c r="K105" s="1338">
        <f>J105/J137*100</f>
        <v>0</v>
      </c>
      <c r="L105" s="131">
        <f>D105-J105</f>
        <v>0</v>
      </c>
      <c r="M105" s="427"/>
      <c r="N105" s="129"/>
    </row>
    <row r="106" spans="1:14" ht="18" customHeight="1">
      <c r="A106" s="386" t="s">
        <v>519</v>
      </c>
      <c r="B106" s="386"/>
      <c r="C106" s="131"/>
      <c r="D106" s="131"/>
      <c r="E106" s="618">
        <f>F106-'[17]Anexo 2 _ DP FUNC'!F106</f>
        <v>0</v>
      </c>
      <c r="F106" s="1333"/>
      <c r="G106" s="1338">
        <f>F106/F137*100</f>
        <v>0</v>
      </c>
      <c r="H106" s="507">
        <f>D106-F106</f>
        <v>0</v>
      </c>
      <c r="I106" s="932">
        <f>J106-'[17]Anexo 2 _ DP FUNC'!H106</f>
        <v>0</v>
      </c>
      <c r="J106" s="136"/>
      <c r="K106" s="1338">
        <f>J106/J137*100</f>
        <v>0</v>
      </c>
      <c r="L106" s="131">
        <f>D106-J106</f>
        <v>0</v>
      </c>
      <c r="M106" s="427"/>
      <c r="N106" s="129"/>
    </row>
    <row r="107" spans="1:14" ht="18" customHeight="1">
      <c r="A107" s="1465" t="s">
        <v>166</v>
      </c>
      <c r="B107" s="1465"/>
      <c r="C107" s="134">
        <v>1295735</v>
      </c>
      <c r="D107" s="134">
        <f>C107</f>
        <v>1295735</v>
      </c>
      <c r="E107" s="618">
        <f>F107-'[17]Anexo 2 _ DP FUNC'!F107</f>
        <v>0</v>
      </c>
      <c r="F107" s="1334">
        <v>0</v>
      </c>
      <c r="G107" s="1339">
        <f>F107/F137*100</f>
        <v>0</v>
      </c>
      <c r="H107" s="507">
        <f>D107-F107</f>
        <v>1295735</v>
      </c>
      <c r="I107" s="932">
        <f>J107-'[17]Anexo 2 _ DP FUNC'!H107</f>
        <v>0</v>
      </c>
      <c r="J107" s="138">
        <v>0</v>
      </c>
      <c r="K107" s="1339">
        <f>J107/J137*100</f>
        <v>0</v>
      </c>
      <c r="L107" s="131">
        <f>D107-J107</f>
        <v>1295735</v>
      </c>
      <c r="M107" s="943"/>
      <c r="N107" s="129"/>
    </row>
    <row r="108" spans="1:15" s="124" customFormat="1" ht="18" customHeight="1">
      <c r="A108" s="1468" t="s">
        <v>167</v>
      </c>
      <c r="B108" s="1468"/>
      <c r="C108" s="147">
        <f aca="true" t="shared" si="21" ref="C108:L108">SUM(C109:C112)</f>
        <v>4990901</v>
      </c>
      <c r="D108" s="147">
        <f t="shared" si="21"/>
        <v>4990901</v>
      </c>
      <c r="E108" s="510">
        <f t="shared" si="21"/>
        <v>698790</v>
      </c>
      <c r="F108" s="518">
        <f t="shared" si="21"/>
        <v>698790</v>
      </c>
      <c r="G108" s="1337">
        <f>F108/F137*100</f>
        <v>0.044037361269749165</v>
      </c>
      <c r="H108" s="908">
        <f t="shared" si="21"/>
        <v>4292111</v>
      </c>
      <c r="I108" s="1325">
        <f>SUM(I109:I112)</f>
        <v>147124.39</v>
      </c>
      <c r="J108" s="128">
        <f t="shared" si="21"/>
        <v>147124.39</v>
      </c>
      <c r="K108" s="1337">
        <f>J108/J137*100</f>
        <v>0.021513846135985525</v>
      </c>
      <c r="L108" s="518">
        <f t="shared" si="21"/>
        <v>4843776.609999999</v>
      </c>
      <c r="M108" s="942">
        <f>SUM(M109:M112)</f>
        <v>0</v>
      </c>
      <c r="N108" s="410"/>
      <c r="O108" s="130"/>
    </row>
    <row r="109" spans="1:42" ht="18" customHeight="1">
      <c r="A109" s="1466" t="s">
        <v>111</v>
      </c>
      <c r="B109" s="1466"/>
      <c r="C109" s="142"/>
      <c r="D109" s="142"/>
      <c r="E109" s="618">
        <f>F109-'[17]Anexo 2 _ DP FUNC'!F109</f>
        <v>0</v>
      </c>
      <c r="F109" s="513"/>
      <c r="G109" s="1338">
        <f>F109/F137*100</f>
        <v>0</v>
      </c>
      <c r="H109" s="1342">
        <f>D109-F109</f>
        <v>0</v>
      </c>
      <c r="I109" s="1341">
        <f>J109-'[17]Anexo 2 _ DP FUNC'!H109</f>
        <v>0</v>
      </c>
      <c r="J109" s="132"/>
      <c r="K109" s="1338">
        <f>J109/J137*100</f>
        <v>0</v>
      </c>
      <c r="L109" s="131">
        <f>D109-J109</f>
        <v>0</v>
      </c>
      <c r="M109" s="432"/>
      <c r="N109" s="129"/>
      <c r="AP109" s="505"/>
    </row>
    <row r="110" spans="1:14" ht="18" customHeight="1">
      <c r="A110" s="1466" t="s">
        <v>168</v>
      </c>
      <c r="B110" s="1466"/>
      <c r="C110" s="142">
        <v>907000</v>
      </c>
      <c r="D110" s="142">
        <f>C110</f>
        <v>907000</v>
      </c>
      <c r="E110" s="618">
        <f>F110-'[17]Anexo 2 _ DP FUNC'!F110</f>
        <v>0</v>
      </c>
      <c r="F110" s="513">
        <v>0</v>
      </c>
      <c r="G110" s="1338">
        <f>F110/F137*100</f>
        <v>0</v>
      </c>
      <c r="H110" s="1342">
        <f>D110-F110</f>
        <v>907000</v>
      </c>
      <c r="I110" s="1341">
        <f>J110-'[17]Anexo 2 _ DP FUNC'!H110</f>
        <v>0</v>
      </c>
      <c r="J110" s="132">
        <v>0</v>
      </c>
      <c r="K110" s="1338">
        <f>J110/J137*100</f>
        <v>0</v>
      </c>
      <c r="L110" s="131">
        <f>D110-J110</f>
        <v>907000</v>
      </c>
      <c r="M110" s="432"/>
      <c r="N110" s="129"/>
    </row>
    <row r="111" spans="1:14" ht="18" customHeight="1">
      <c r="A111" s="1466" t="s">
        <v>815</v>
      </c>
      <c r="B111" s="1466"/>
      <c r="C111" s="131"/>
      <c r="D111" s="142"/>
      <c r="E111" s="618">
        <f>F111-'[17]Anexo 2 _ DP FUNC'!F111</f>
        <v>0</v>
      </c>
      <c r="F111" s="513"/>
      <c r="G111" s="1338">
        <f>F111/F137*100</f>
        <v>0</v>
      </c>
      <c r="H111" s="1342">
        <f>D111-F111</f>
        <v>0</v>
      </c>
      <c r="I111" s="1341">
        <f>J111-'[17]Anexo 2 _ DP FUNC'!H111</f>
        <v>0</v>
      </c>
      <c r="J111" s="136"/>
      <c r="K111" s="1338">
        <f>J111/J137*100</f>
        <v>0</v>
      </c>
      <c r="L111" s="131">
        <f>D111-J111</f>
        <v>0</v>
      </c>
      <c r="M111" s="432"/>
      <c r="N111" s="129"/>
    </row>
    <row r="112" spans="1:14" ht="18" customHeight="1">
      <c r="A112" s="1465" t="s">
        <v>169</v>
      </c>
      <c r="B112" s="1465"/>
      <c r="C112" s="134">
        <v>4083901</v>
      </c>
      <c r="D112" s="135">
        <f>C112</f>
        <v>4083901</v>
      </c>
      <c r="E112" s="618">
        <f>F112-'[17]Anexo 2 _ DP FUNC'!F112</f>
        <v>698790</v>
      </c>
      <c r="F112" s="522">
        <v>698790</v>
      </c>
      <c r="G112" s="1339">
        <f>F112/F137*100</f>
        <v>0.044037361269749165</v>
      </c>
      <c r="H112" s="1343">
        <f>D112-F112</f>
        <v>3385111</v>
      </c>
      <c r="I112" s="1341">
        <f>J112-'[17]Anexo 2 _ DP FUNC'!H112</f>
        <v>147124.39</v>
      </c>
      <c r="J112" s="138">
        <v>147124.39</v>
      </c>
      <c r="K112" s="1339">
        <f>J112/J137*100</f>
        <v>0.021513846135985525</v>
      </c>
      <c r="L112" s="1090">
        <f>D112-J112</f>
        <v>3936776.61</v>
      </c>
      <c r="M112" s="947"/>
      <c r="N112" s="129"/>
    </row>
    <row r="113" spans="1:15" s="124" customFormat="1" ht="18" customHeight="1">
      <c r="A113" s="1468" t="s">
        <v>170</v>
      </c>
      <c r="B113" s="1468"/>
      <c r="C113" s="147">
        <f aca="true" t="shared" si="22" ref="C113:L113">SUM(C114:C116)</f>
        <v>6952761</v>
      </c>
      <c r="D113" s="147">
        <f t="shared" si="22"/>
        <v>8859263.58</v>
      </c>
      <c r="E113" s="510">
        <f t="shared" si="22"/>
        <v>1721715.77</v>
      </c>
      <c r="F113" s="512">
        <f t="shared" si="22"/>
        <v>5877797.84</v>
      </c>
      <c r="G113" s="1337">
        <f>F113/F137*100</f>
        <v>0.37041558544145065</v>
      </c>
      <c r="H113" s="1364">
        <f t="shared" si="22"/>
        <v>2981465.74</v>
      </c>
      <c r="I113" s="1325">
        <f>SUM(I114:I116)</f>
        <v>933483.38</v>
      </c>
      <c r="J113" s="429">
        <f t="shared" si="22"/>
        <v>3001995.2</v>
      </c>
      <c r="K113" s="1337">
        <f>J113/J137*100</f>
        <v>0.4389786277704675</v>
      </c>
      <c r="L113" s="512">
        <f t="shared" si="22"/>
        <v>5857268.38</v>
      </c>
      <c r="M113" s="945">
        <f>SUM(M114:M116)</f>
        <v>0</v>
      </c>
      <c r="N113" s="410"/>
      <c r="O113" s="130"/>
    </row>
    <row r="114" spans="1:14" ht="18" customHeight="1">
      <c r="A114" s="382" t="s">
        <v>117</v>
      </c>
      <c r="B114" s="387"/>
      <c r="C114" s="142"/>
      <c r="D114" s="142"/>
      <c r="E114" s="618">
        <f>F114-'[17]Anexo 2 _ DP FUNC'!F114</f>
        <v>0</v>
      </c>
      <c r="F114" s="513"/>
      <c r="G114" s="1338">
        <f>F114/F137*100</f>
        <v>0</v>
      </c>
      <c r="H114" s="1342">
        <f>D114-F114</f>
        <v>0</v>
      </c>
      <c r="I114" s="1341">
        <f>J114-'[17]Anexo 2 _ DP FUNC'!H114</f>
        <v>0</v>
      </c>
      <c r="J114" s="132"/>
      <c r="K114" s="1338">
        <f>J114/J137*100</f>
        <v>0</v>
      </c>
      <c r="L114" s="131">
        <f>D114-J114</f>
        <v>0</v>
      </c>
      <c r="M114" s="427"/>
      <c r="N114" s="129"/>
    </row>
    <row r="115" spans="1:14" ht="18" customHeight="1">
      <c r="A115" s="1466" t="s">
        <v>111</v>
      </c>
      <c r="B115" s="1466"/>
      <c r="C115" s="142">
        <v>4342761</v>
      </c>
      <c r="D115" s="142">
        <v>4391761</v>
      </c>
      <c r="E115" s="618">
        <f>F115-'[17]Anexo 2 _ DP FUNC'!F115</f>
        <v>575645.6600000001</v>
      </c>
      <c r="F115" s="513">
        <v>3201567.73</v>
      </c>
      <c r="G115" s="1338">
        <f>F115/F137*100</f>
        <v>0.20176103658549888</v>
      </c>
      <c r="H115" s="1342">
        <f>D115-F115</f>
        <v>1190193.27</v>
      </c>
      <c r="I115" s="1341">
        <f>J115-'[17]Anexo 2 _ DP FUNC'!H115</f>
        <v>647333.38</v>
      </c>
      <c r="J115" s="132">
        <v>1185685.2</v>
      </c>
      <c r="K115" s="1338">
        <f>J115/J137*100</f>
        <v>0.1733815104247176</v>
      </c>
      <c r="L115" s="131">
        <f>D115-J115</f>
        <v>3206075.8</v>
      </c>
      <c r="M115" s="427"/>
      <c r="N115" s="129"/>
    </row>
    <row r="116" spans="1:14" ht="18" customHeight="1">
      <c r="A116" s="1472" t="s">
        <v>171</v>
      </c>
      <c r="B116" s="1472"/>
      <c r="C116" s="907">
        <v>2610000</v>
      </c>
      <c r="D116" s="977">
        <v>4467502.58</v>
      </c>
      <c r="E116" s="619">
        <f>F116-'[17]Anexo 2 _ DP FUNC'!F116</f>
        <v>1146070.1099999999</v>
      </c>
      <c r="F116" s="522">
        <v>2676230.11</v>
      </c>
      <c r="G116" s="1339">
        <f>F116/F137*100</f>
        <v>0.16865454885595177</v>
      </c>
      <c r="H116" s="1342">
        <f>D116-F116</f>
        <v>1791272.4700000002</v>
      </c>
      <c r="I116" s="1341">
        <f>J116-'[17]Anexo 2 _ DP FUNC'!H116</f>
        <v>286150</v>
      </c>
      <c r="J116" s="978">
        <v>1816310</v>
      </c>
      <c r="K116" s="1339">
        <f>J116/J137*100</f>
        <v>0.26559711734574987</v>
      </c>
      <c r="L116" s="131">
        <f>D116-J116</f>
        <v>2651192.58</v>
      </c>
      <c r="M116" s="428"/>
      <c r="N116" s="129"/>
    </row>
    <row r="117" spans="1:15" s="124" customFormat="1" ht="18" customHeight="1">
      <c r="A117" s="411" t="s">
        <v>816</v>
      </c>
      <c r="B117" s="387"/>
      <c r="C117" s="147">
        <f aca="true" t="shared" si="23" ref="C117:L117">C118</f>
        <v>0</v>
      </c>
      <c r="D117" s="426">
        <f t="shared" si="23"/>
        <v>7580000</v>
      </c>
      <c r="E117" s="979">
        <f t="shared" si="23"/>
        <v>199820.11</v>
      </c>
      <c r="F117" s="518">
        <f t="shared" si="23"/>
        <v>199820.11</v>
      </c>
      <c r="G117" s="1337">
        <f>F117/F137*100</f>
        <v>0.012592553375164238</v>
      </c>
      <c r="H117" s="908">
        <f t="shared" si="23"/>
        <v>7380179.89</v>
      </c>
      <c r="I117" s="1325">
        <f t="shared" si="23"/>
        <v>199820.11</v>
      </c>
      <c r="J117" s="425">
        <f t="shared" si="23"/>
        <v>199820.11</v>
      </c>
      <c r="K117" s="1337">
        <f>J117/J137*100</f>
        <v>0.029219486323210593</v>
      </c>
      <c r="L117" s="980">
        <f t="shared" si="23"/>
        <v>7380179.89</v>
      </c>
      <c r="M117" s="981">
        <f>M118</f>
        <v>0</v>
      </c>
      <c r="N117" s="410"/>
      <c r="O117" s="130"/>
    </row>
    <row r="118" spans="1:14" ht="18" customHeight="1">
      <c r="A118" s="975" t="s">
        <v>817</v>
      </c>
      <c r="B118" s="976"/>
      <c r="C118" s="1370">
        <v>0</v>
      </c>
      <c r="D118" s="428">
        <v>7580000</v>
      </c>
      <c r="E118" s="989">
        <f>F118-'[17]Anexo 2 _ DP FUNC'!F118</f>
        <v>199820.11</v>
      </c>
      <c r="F118" s="522">
        <v>199820.11</v>
      </c>
      <c r="G118" s="1339">
        <f>F118/F137*100</f>
        <v>0.012592553375164238</v>
      </c>
      <c r="H118" s="1342">
        <f>D118-F118</f>
        <v>7380179.89</v>
      </c>
      <c r="I118" s="1361">
        <f>J118-'[17]Anexo 2 _ DP FUNC'!H118</f>
        <v>199820.11</v>
      </c>
      <c r="J118" s="978">
        <v>199820.11</v>
      </c>
      <c r="K118" s="1339">
        <f>J118/J137*100</f>
        <v>0.029219486323210593</v>
      </c>
      <c r="L118" s="1090">
        <f>D118-J118</f>
        <v>7380179.89</v>
      </c>
      <c r="M118" s="428"/>
      <c r="N118" s="129"/>
    </row>
    <row r="119" spans="1:15" s="124" customFormat="1" ht="18" customHeight="1">
      <c r="A119" s="1468" t="s">
        <v>172</v>
      </c>
      <c r="B119" s="1468"/>
      <c r="C119" s="147">
        <f aca="true" t="shared" si="24" ref="C119:J119">C122+C120+C121</f>
        <v>24910682</v>
      </c>
      <c r="D119" s="147">
        <f t="shared" si="24"/>
        <v>24910682</v>
      </c>
      <c r="E119" s="974">
        <f t="shared" si="24"/>
        <v>1730678.0499999989</v>
      </c>
      <c r="F119" s="512">
        <f t="shared" si="24"/>
        <v>15137699.66</v>
      </c>
      <c r="G119" s="1337">
        <f>F119/F137*100</f>
        <v>0.9539695025978894</v>
      </c>
      <c r="H119" s="908">
        <f t="shared" si="24"/>
        <v>9772982.34</v>
      </c>
      <c r="I119" s="1344">
        <f>I122+I120+I121</f>
        <v>4665619.92</v>
      </c>
      <c r="J119" s="425">
        <f t="shared" si="24"/>
        <v>6305186.18</v>
      </c>
      <c r="K119" s="1337">
        <f>J119/J137*100</f>
        <v>0.9220008003789332</v>
      </c>
      <c r="L119" s="942">
        <f>L120+L121+L122</f>
        <v>18605495.82</v>
      </c>
      <c r="M119" s="942">
        <f>M120+M121+M122</f>
        <v>0</v>
      </c>
      <c r="N119" s="410"/>
      <c r="O119" s="130"/>
    </row>
    <row r="120" spans="1:14" ht="18" customHeight="1">
      <c r="A120" s="1466" t="s">
        <v>119</v>
      </c>
      <c r="B120" s="1466"/>
      <c r="C120" s="131">
        <v>7020706</v>
      </c>
      <c r="D120" s="142">
        <f>C120</f>
        <v>7020706</v>
      </c>
      <c r="E120" s="1369">
        <f>F120-'[17]Anexo 2 _ DP FUNC'!F120</f>
        <v>-34620.28000000026</v>
      </c>
      <c r="F120" s="513">
        <v>6209563.29</v>
      </c>
      <c r="G120" s="1338">
        <f>F120/F137*100</f>
        <v>0.39132326153651625</v>
      </c>
      <c r="H120" s="1342">
        <f>D120-F120</f>
        <v>811142.71</v>
      </c>
      <c r="I120" s="1341">
        <f>J120-'[17]Anexo 2 _ DP FUNC'!H120</f>
        <v>1057791.76</v>
      </c>
      <c r="J120" s="136">
        <v>2045087.55</v>
      </c>
      <c r="K120" s="1338">
        <f>J120/J137*100</f>
        <v>0.29905101992483774</v>
      </c>
      <c r="L120" s="131">
        <f>D120-J120</f>
        <v>4975618.45</v>
      </c>
      <c r="M120" s="432"/>
      <c r="N120" s="129"/>
    </row>
    <row r="121" spans="1:14" ht="18" customHeight="1">
      <c r="A121" s="382" t="s">
        <v>158</v>
      </c>
      <c r="B121" s="386"/>
      <c r="C121" s="131"/>
      <c r="D121" s="142"/>
      <c r="E121" s="618">
        <f>F121-'[17]Anexo 2 _ DP FUNC'!F121</f>
        <v>0</v>
      </c>
      <c r="F121" s="513"/>
      <c r="G121" s="1338">
        <f>F121/F137*100</f>
        <v>0</v>
      </c>
      <c r="H121" s="1342">
        <f>D121-F121</f>
        <v>0</v>
      </c>
      <c r="I121" s="1341">
        <f>J121-'[17]Anexo 2 _ DP FUNC'!H121</f>
        <v>0</v>
      </c>
      <c r="J121" s="136"/>
      <c r="K121" s="1338">
        <f>J121/J137*100</f>
        <v>0</v>
      </c>
      <c r="L121" s="131">
        <f>D121-J121</f>
        <v>0</v>
      </c>
      <c r="M121" s="432"/>
      <c r="N121" s="129"/>
    </row>
    <row r="122" spans="1:14" ht="18" customHeight="1">
      <c r="A122" s="1465" t="s">
        <v>173</v>
      </c>
      <c r="B122" s="1465"/>
      <c r="C122" s="134">
        <v>17889976</v>
      </c>
      <c r="D122" s="135">
        <f>C122</f>
        <v>17889976</v>
      </c>
      <c r="E122" s="618">
        <f>F122-'[17]Anexo 2 _ DP FUNC'!F122</f>
        <v>1765298.3299999991</v>
      </c>
      <c r="F122" s="522">
        <v>8928136.37</v>
      </c>
      <c r="G122" s="1339">
        <f>F122/F137*100</f>
        <v>0.5626462410613731</v>
      </c>
      <c r="H122" s="1343">
        <f>D122-F122</f>
        <v>8961839.63</v>
      </c>
      <c r="I122" s="1341">
        <f>J122-'[17]Anexo 2 _ DP FUNC'!H122</f>
        <v>3607828.16</v>
      </c>
      <c r="J122" s="138">
        <v>4260098.63</v>
      </c>
      <c r="K122" s="1339">
        <f>J122/J137*100</f>
        <v>0.6229497804540954</v>
      </c>
      <c r="L122" s="1090">
        <f>D122-J122</f>
        <v>13629877.370000001</v>
      </c>
      <c r="M122" s="947"/>
      <c r="N122" s="129"/>
    </row>
    <row r="123" spans="1:15" s="124" customFormat="1" ht="18" customHeight="1">
      <c r="A123" s="1468" t="s">
        <v>174</v>
      </c>
      <c r="B123" s="1468"/>
      <c r="C123" s="147">
        <f aca="true" t="shared" si="25" ref="C123:L123">C124+C125+C126</f>
        <v>7445420</v>
      </c>
      <c r="D123" s="147">
        <f t="shared" si="25"/>
        <v>8294960</v>
      </c>
      <c r="E123" s="511">
        <f t="shared" si="25"/>
        <v>283732.64000000013</v>
      </c>
      <c r="F123" s="512">
        <f t="shared" si="25"/>
        <v>3839317.94</v>
      </c>
      <c r="G123" s="1337">
        <f>F123/F137*100</f>
        <v>0.2419517038784315</v>
      </c>
      <c r="H123" s="1364">
        <f t="shared" si="25"/>
        <v>4455642.0600000005</v>
      </c>
      <c r="I123" s="1325">
        <f>I124+I125+I126</f>
        <v>862440.9</v>
      </c>
      <c r="J123" s="128">
        <f t="shared" si="25"/>
        <v>1434469.02</v>
      </c>
      <c r="K123" s="1337">
        <f>J123/J137*100</f>
        <v>0.20976090900440056</v>
      </c>
      <c r="L123" s="512">
        <f t="shared" si="25"/>
        <v>6860490.98</v>
      </c>
      <c r="M123" s="942">
        <f>M124+M125+M126</f>
        <v>0</v>
      </c>
      <c r="N123" s="410"/>
      <c r="O123" s="130"/>
    </row>
    <row r="124" spans="1:14" ht="18" customHeight="1">
      <c r="A124" s="1466" t="s">
        <v>111</v>
      </c>
      <c r="B124" s="1466"/>
      <c r="C124" s="131">
        <v>4831345</v>
      </c>
      <c r="D124" s="131">
        <f>C124</f>
        <v>4831345</v>
      </c>
      <c r="E124" s="618">
        <f>F124-'[17]Anexo 2 _ DP FUNC'!F124</f>
        <v>283732.64000000013</v>
      </c>
      <c r="F124" s="513">
        <v>3786476.94</v>
      </c>
      <c r="G124" s="1338">
        <f>F124/F137*100</f>
        <v>0.23862169313578377</v>
      </c>
      <c r="H124" s="1342">
        <f>D124-F124</f>
        <v>1044868.06</v>
      </c>
      <c r="I124" s="1341">
        <f>J124-'[17]Anexo 2 _ DP FUNC'!H124</f>
        <v>847560.9</v>
      </c>
      <c r="J124" s="136">
        <v>1387208.02</v>
      </c>
      <c r="K124" s="1338">
        <f>J124/J137*100</f>
        <v>0.20284998225573017</v>
      </c>
      <c r="L124" s="131">
        <f>D124-J124</f>
        <v>3444136.98</v>
      </c>
      <c r="M124" s="432"/>
      <c r="N124" s="129"/>
    </row>
    <row r="125" spans="1:14" ht="18" customHeight="1">
      <c r="A125" s="1466" t="s">
        <v>520</v>
      </c>
      <c r="B125" s="1466"/>
      <c r="C125" s="131"/>
      <c r="D125" s="131"/>
      <c r="E125" s="618">
        <f>F125-'[17]Anexo 2 _ DP FUNC'!F125</f>
        <v>0</v>
      </c>
      <c r="F125" s="513"/>
      <c r="G125" s="1338">
        <f>F125/F137*100</f>
        <v>0</v>
      </c>
      <c r="H125" s="1342">
        <f>D125-F125</f>
        <v>0</v>
      </c>
      <c r="I125" s="1341">
        <f>J125-'[17]Anexo 2 _ DP FUNC'!H125</f>
        <v>0</v>
      </c>
      <c r="J125" s="136"/>
      <c r="K125" s="1338">
        <f>J125/J137*100</f>
        <v>0</v>
      </c>
      <c r="L125" s="131">
        <f>D125-J125</f>
        <v>0</v>
      </c>
      <c r="M125" s="432"/>
      <c r="N125" s="129"/>
    </row>
    <row r="126" spans="1:14" ht="18" customHeight="1">
      <c r="A126" s="1465" t="s">
        <v>175</v>
      </c>
      <c r="B126" s="1465"/>
      <c r="C126" s="134">
        <v>2614075</v>
      </c>
      <c r="D126" s="134">
        <v>3463615</v>
      </c>
      <c r="E126" s="1309">
        <f>F126-'[17]Anexo 2 _ DP FUNC'!F126</f>
        <v>0</v>
      </c>
      <c r="F126" s="522">
        <v>52841</v>
      </c>
      <c r="G126" s="1339">
        <f>F126/F137*100</f>
        <v>0.003330010742647742</v>
      </c>
      <c r="H126" s="1343">
        <f>D126-F126</f>
        <v>3410774</v>
      </c>
      <c r="I126" s="1361">
        <f>J126-'[17]Anexo 2 _ DP FUNC'!H126</f>
        <v>14880</v>
      </c>
      <c r="J126" s="138">
        <v>47261</v>
      </c>
      <c r="K126" s="1339">
        <f>J126/J137*100</f>
        <v>0.006910926748670372</v>
      </c>
      <c r="L126" s="1090">
        <f>D126-J126</f>
        <v>3416354</v>
      </c>
      <c r="M126" s="947"/>
      <c r="N126" s="129"/>
    </row>
    <row r="127" spans="1:15" s="124" customFormat="1" ht="18" customHeight="1">
      <c r="A127" s="1463" t="s">
        <v>176</v>
      </c>
      <c r="B127" s="1463"/>
      <c r="C127" s="140">
        <f>C128+C129+C130</f>
        <v>112947944</v>
      </c>
      <c r="D127" s="140">
        <f aca="true" t="shared" si="26" ref="D127:L127">D128+D129+D130</f>
        <v>83959303.75</v>
      </c>
      <c r="E127" s="140">
        <f t="shared" si="26"/>
        <v>-22280612.72</v>
      </c>
      <c r="F127" s="147">
        <f t="shared" si="26"/>
        <v>35032362.339999996</v>
      </c>
      <c r="G127" s="1337">
        <f>F127/F137*100</f>
        <v>2.2077201970539577</v>
      </c>
      <c r="H127" s="1363">
        <f t="shared" si="26"/>
        <v>48926941.410000004</v>
      </c>
      <c r="I127" s="981">
        <f t="shared" si="26"/>
        <v>7319898.13</v>
      </c>
      <c r="J127" s="425">
        <f t="shared" si="26"/>
        <v>19034546.28</v>
      </c>
      <c r="K127" s="1337">
        <f>J127/J137*100</f>
        <v>2.783401854282731</v>
      </c>
      <c r="L127" s="140">
        <f t="shared" si="26"/>
        <v>64924757.47</v>
      </c>
      <c r="M127" s="140">
        <f>M128+M129+M130</f>
        <v>0</v>
      </c>
      <c r="N127" s="410"/>
      <c r="O127" s="130"/>
    </row>
    <row r="128" spans="1:14" ht="18" customHeight="1">
      <c r="A128" s="1451" t="s">
        <v>111</v>
      </c>
      <c r="B128" s="1451"/>
      <c r="C128" s="131">
        <v>54572944</v>
      </c>
      <c r="D128" s="131">
        <v>25584303.75</v>
      </c>
      <c r="E128" s="1369">
        <f>F128-'[17]Anexo 2 _ DP FUNC'!F128</f>
        <v>-22287776.669999998</v>
      </c>
      <c r="F128" s="513">
        <v>25092495.74</v>
      </c>
      <c r="G128" s="1338">
        <f>F128/F137*100</f>
        <v>1.5813152736330254</v>
      </c>
      <c r="H128" s="1342">
        <f>D128-F128</f>
        <v>491808.01000000164</v>
      </c>
      <c r="I128" s="1341">
        <f>J128-'[17]Anexo 2 _ DP FUNC'!H128</f>
        <v>4213260.22</v>
      </c>
      <c r="J128" s="136">
        <v>9830884.51</v>
      </c>
      <c r="K128" s="1338">
        <f>J128/J137*100</f>
        <v>1.4375599907587273</v>
      </c>
      <c r="L128" s="131">
        <f>D128-J128</f>
        <v>15753419.24</v>
      </c>
      <c r="M128" s="432"/>
      <c r="N128" s="129"/>
    </row>
    <row r="129" spans="1:14" ht="18" customHeight="1">
      <c r="A129" s="1451" t="s">
        <v>177</v>
      </c>
      <c r="B129" s="1451"/>
      <c r="C129" s="131">
        <v>16350000</v>
      </c>
      <c r="D129" s="131">
        <f>C129</f>
        <v>16350000</v>
      </c>
      <c r="E129" s="618">
        <f>F129-'[17]Anexo 2 _ DP FUNC'!F129</f>
        <v>4697.599999999977</v>
      </c>
      <c r="F129" s="513">
        <v>1019721.33</v>
      </c>
      <c r="G129" s="1338">
        <f>F129/F137*100</f>
        <v>0.06426227708421572</v>
      </c>
      <c r="H129" s="1342">
        <f>D129-F129</f>
        <v>15330278.67</v>
      </c>
      <c r="I129" s="1341">
        <f>J129-'[17]Anexo 2 _ DP FUNC'!H129</f>
        <v>490024.29999999993</v>
      </c>
      <c r="J129" s="136">
        <v>988892.57</v>
      </c>
      <c r="K129" s="1338">
        <f>J129/J137*100</f>
        <v>0.14460472934500723</v>
      </c>
      <c r="L129" s="131">
        <f>D129-J129</f>
        <v>15361107.43</v>
      </c>
      <c r="M129" s="432"/>
      <c r="N129" s="129"/>
    </row>
    <row r="130" spans="1:14" ht="18" customHeight="1">
      <c r="A130" s="1450" t="s">
        <v>178</v>
      </c>
      <c r="B130" s="1450"/>
      <c r="C130" s="134">
        <v>42025000</v>
      </c>
      <c r="D130" s="134">
        <f>C130</f>
        <v>42025000</v>
      </c>
      <c r="E130" s="1309">
        <f>F130-'[17]Anexo 2 _ DP FUNC'!F130</f>
        <v>2466.3499999996275</v>
      </c>
      <c r="F130" s="522">
        <v>8920145.27</v>
      </c>
      <c r="G130" s="1339">
        <f>F130/F137*100</f>
        <v>0.5621426463367165</v>
      </c>
      <c r="H130" s="1343">
        <f>D130-F130</f>
        <v>33104854.73</v>
      </c>
      <c r="I130" s="1361">
        <f>J130-'[17]Anexo 2 _ DP FUNC'!H130</f>
        <v>2616613.6100000003</v>
      </c>
      <c r="J130" s="138">
        <v>8214769.2</v>
      </c>
      <c r="K130" s="1339">
        <f>J130/J137*100</f>
        <v>1.2012371341789956</v>
      </c>
      <c r="L130" s="1090">
        <f>D130-J130</f>
        <v>33810230.8</v>
      </c>
      <c r="M130" s="947"/>
      <c r="N130" s="129"/>
    </row>
    <row r="131" spans="1:15" s="124" customFormat="1" ht="19.5" customHeight="1">
      <c r="A131" s="1468" t="s">
        <v>179</v>
      </c>
      <c r="B131" s="1468"/>
      <c r="C131" s="147">
        <f>C132+C133</f>
        <v>20739308</v>
      </c>
      <c r="D131" s="147">
        <f aca="true" t="shared" si="27" ref="D131:L131">D132+D133</f>
        <v>10739308</v>
      </c>
      <c r="E131" s="147">
        <f t="shared" si="27"/>
        <v>0</v>
      </c>
      <c r="F131" s="147">
        <f t="shared" si="27"/>
        <v>0</v>
      </c>
      <c r="G131" s="1337">
        <f>F131/F137*100</f>
        <v>0</v>
      </c>
      <c r="H131" s="1363">
        <f t="shared" si="27"/>
        <v>10739308</v>
      </c>
      <c r="I131" s="981">
        <f t="shared" si="27"/>
        <v>0</v>
      </c>
      <c r="J131" s="128">
        <f t="shared" si="27"/>
        <v>0</v>
      </c>
      <c r="K131" s="1337">
        <f>J131/J137*100</f>
        <v>0</v>
      </c>
      <c r="L131" s="147">
        <f t="shared" si="27"/>
        <v>10739308</v>
      </c>
      <c r="M131" s="945">
        <f>M132+M133</f>
        <v>0</v>
      </c>
      <c r="N131" s="410"/>
      <c r="O131" s="130"/>
    </row>
    <row r="132" spans="1:15" s="124" customFormat="1" ht="19.5" customHeight="1">
      <c r="A132" s="1466" t="s">
        <v>818</v>
      </c>
      <c r="B132" s="1466"/>
      <c r="C132" s="142"/>
      <c r="D132" s="427"/>
      <c r="E132" s="618">
        <f>F132-'[17]Anexo 2 _ DP FUNC'!F132</f>
        <v>0</v>
      </c>
      <c r="F132" s="142"/>
      <c r="G132" s="1338">
        <f>F132/F137*100</f>
        <v>0</v>
      </c>
      <c r="H132" s="1342">
        <f>D132-F132</f>
        <v>0</v>
      </c>
      <c r="I132" s="1341">
        <f>J132-'[17]Anexo 2 _ DP FUNC'!H132</f>
        <v>0</v>
      </c>
      <c r="J132" s="136"/>
      <c r="K132" s="1338">
        <f>J132/J137*100</f>
        <v>0</v>
      </c>
      <c r="L132" s="131">
        <f>D132-J132</f>
        <v>0</v>
      </c>
      <c r="M132" s="432"/>
      <c r="N132" s="129"/>
      <c r="O132" s="130"/>
    </row>
    <row r="133" spans="1:14" ht="19.5" customHeight="1">
      <c r="A133" s="1466" t="s">
        <v>180</v>
      </c>
      <c r="B133" s="1466"/>
      <c r="C133" s="134">
        <v>20739308</v>
      </c>
      <c r="D133" s="135">
        <v>10739308</v>
      </c>
      <c r="E133" s="618">
        <f>F133-'[17]Anexo 2 _ DP FUNC'!F133</f>
        <v>0</v>
      </c>
      <c r="F133" s="522">
        <v>0</v>
      </c>
      <c r="G133" s="1339">
        <f>F133/F137*100</f>
        <v>0</v>
      </c>
      <c r="H133" s="1343">
        <f>D133-F133</f>
        <v>10739308</v>
      </c>
      <c r="I133" s="1361">
        <f>J133-'[17]Anexo 2 _ DP FUNC'!H133</f>
        <v>0</v>
      </c>
      <c r="J133" s="136">
        <v>0</v>
      </c>
      <c r="K133" s="1339">
        <f>J133/J137*100</f>
        <v>0</v>
      </c>
      <c r="L133" s="131">
        <f>D133-J133</f>
        <v>10739308</v>
      </c>
      <c r="M133" s="432"/>
      <c r="N133" s="129"/>
    </row>
    <row r="134" spans="1:14" ht="7.5" customHeight="1">
      <c r="A134" s="1473"/>
      <c r="B134" s="1473"/>
      <c r="C134" s="153"/>
      <c r="D134" s="153"/>
      <c r="E134" s="506"/>
      <c r="F134" s="507"/>
      <c r="G134" s="1336"/>
      <c r="H134" s="506"/>
      <c r="I134" s="1022"/>
      <c r="J134" s="153"/>
      <c r="K134" s="1336"/>
      <c r="L134" s="1366"/>
      <c r="M134" s="951"/>
      <c r="N134" s="129"/>
    </row>
    <row r="135" spans="1:15" s="124" customFormat="1" ht="15" customHeight="1">
      <c r="A135" s="416" t="s">
        <v>949</v>
      </c>
      <c r="B135" s="416"/>
      <c r="C135" s="154"/>
      <c r="D135" s="155">
        <v>68761081.06</v>
      </c>
      <c r="E135" s="1372">
        <f>F135-'[17]Anexo 2 _ DP FUNC'!F135</f>
        <v>68761081.06</v>
      </c>
      <c r="F135" s="1326">
        <v>68761081.06</v>
      </c>
      <c r="G135" s="1340">
        <f>F135/F137*100</f>
        <v>4.333285490544695</v>
      </c>
      <c r="H135" s="1373">
        <f>D135-F135</f>
        <v>0</v>
      </c>
      <c r="I135" s="1372">
        <f>J135-'[17]Anexo 2 _ DP FUNC'!H135</f>
        <v>11667041.2</v>
      </c>
      <c r="J135" s="1371">
        <v>11667041.2</v>
      </c>
      <c r="K135" s="1340">
        <f>J135/J137*100</f>
        <v>1.706059268888074</v>
      </c>
      <c r="L135" s="1374">
        <f>D135-J135</f>
        <v>57094039.86</v>
      </c>
      <c r="M135" s="952"/>
      <c r="N135" s="410"/>
      <c r="O135" s="1375"/>
    </row>
    <row r="136" spans="1:14" ht="15" customHeight="1">
      <c r="A136" s="133"/>
      <c r="B136" s="133"/>
      <c r="C136" s="137"/>
      <c r="D136" s="137"/>
      <c r="E136" s="137"/>
      <c r="F136" s="137"/>
      <c r="G136" s="1336"/>
      <c r="H136" s="137"/>
      <c r="I136" s="947"/>
      <c r="J136" s="137"/>
      <c r="K136" s="1336">
        <f>J136/J137*100</f>
        <v>0</v>
      </c>
      <c r="L136" s="137"/>
      <c r="M136" s="947"/>
      <c r="N136" s="422"/>
    </row>
    <row r="137" spans="1:15" s="130" customFormat="1" ht="18" customHeight="1">
      <c r="A137" s="1474" t="s">
        <v>181</v>
      </c>
      <c r="B137" s="1474"/>
      <c r="C137" s="156">
        <f aca="true" t="shared" si="28" ref="C137:M137">C12+C135</f>
        <v>2701778599</v>
      </c>
      <c r="D137" s="156">
        <f t="shared" si="28"/>
        <v>2725629077.27</v>
      </c>
      <c r="E137" s="156">
        <f t="shared" si="28"/>
        <v>307387080.99</v>
      </c>
      <c r="F137" s="156">
        <f t="shared" si="28"/>
        <v>1586811697.7299995</v>
      </c>
      <c r="G137" s="1340">
        <f>F137/F137*100</f>
        <v>100</v>
      </c>
      <c r="H137" s="1020">
        <f t="shared" si="28"/>
        <v>1088155851.85</v>
      </c>
      <c r="I137" s="1023">
        <f t="shared" si="28"/>
        <v>415487209.0299999</v>
      </c>
      <c r="J137" s="1020">
        <f t="shared" si="28"/>
        <v>683859078.8000001</v>
      </c>
      <c r="K137" s="1340">
        <f>J137/J137*100</f>
        <v>100</v>
      </c>
      <c r="L137" s="156">
        <f t="shared" si="28"/>
        <v>2041769998.47</v>
      </c>
      <c r="M137" s="952">
        <f t="shared" si="28"/>
        <v>0</v>
      </c>
      <c r="N137" s="129"/>
      <c r="O137" s="423"/>
    </row>
    <row r="138" spans="1:15" s="124" customFormat="1" ht="18" customHeight="1">
      <c r="A138" s="382" t="str">
        <f>'Anexo 1 _ BAL ORC'!A95</f>
        <v>FONTE: SECRETARIA MUNICIPAL DA FAZENDA</v>
      </c>
      <c r="B138" s="411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07"/>
      <c r="N138" s="129"/>
      <c r="O138" s="130"/>
    </row>
    <row r="139" spans="1:15" s="124" customFormat="1" ht="29.25" customHeight="1">
      <c r="A139" s="1475" t="str">
        <f>'Anexo 1 _ BAL ORC'!A96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B139" s="1475"/>
      <c r="C139" s="1475"/>
      <c r="D139" s="1475"/>
      <c r="E139" s="1475"/>
      <c r="F139" s="1475"/>
      <c r="G139" s="1475"/>
      <c r="H139" s="1475"/>
      <c r="I139" s="1475"/>
      <c r="J139" s="1475"/>
      <c r="K139" s="1475"/>
      <c r="L139" s="1475"/>
      <c r="M139" s="1475"/>
      <c r="N139" s="410"/>
      <c r="O139" s="130"/>
    </row>
    <row r="140" spans="1:15" s="124" customFormat="1" ht="18" customHeight="1">
      <c r="A140" s="418" t="str">
        <f>'Anexo 1 _ BAL ORC'!A97</f>
        <v>a) Despesas liquidadas, consideradas aquelas em que houve a entrega do material ou serviço, nos termos do art. 63 da Lei 4.320/64;</v>
      </c>
      <c r="B140" s="411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32"/>
      <c r="N140" s="410"/>
      <c r="O140" s="130"/>
    </row>
    <row r="141" spans="1:15" s="124" customFormat="1" ht="18" customHeight="1">
      <c r="A141" s="418" t="str">
        <f>'Anexo 1 _ BAL ORC'!A98</f>
        <v>b) Despesas empenhadas mas não liquidadas, inscritas em Restos a Pagar não-processados, consideradas liquidadas no encerramento do exercício, por força do art.35, inciso II da Lei 4.320/64.</v>
      </c>
      <c r="B141" s="411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32"/>
      <c r="N141" s="410"/>
      <c r="O141" s="130"/>
    </row>
    <row r="142" spans="1:13" ht="27.75" customHeight="1">
      <c r="A142" s="157" t="str">
        <f>'Anexo 1 _ BAL ORC'!A100</f>
        <v>  São Luís, 22 de Maio de 2015</v>
      </c>
      <c r="B142" s="157"/>
      <c r="C142" s="158"/>
      <c r="D142" s="158"/>
      <c r="E142" s="158"/>
      <c r="F142" s="160"/>
      <c r="G142" s="160"/>
      <c r="H142" s="160"/>
      <c r="I142" s="158"/>
      <c r="J142" s="160"/>
      <c r="K142" s="160"/>
      <c r="M142" s="158"/>
    </row>
    <row r="143" spans="1:11" s="113" customFormat="1" ht="12.75">
      <c r="A143" s="1476"/>
      <c r="B143" s="1476"/>
      <c r="C143" s="162"/>
      <c r="D143" s="550"/>
      <c r="E143" s="424"/>
      <c r="F143" s="164"/>
      <c r="G143" s="164"/>
      <c r="H143" s="164"/>
      <c r="I143" s="165"/>
      <c r="J143" s="163"/>
      <c r="K143" s="550"/>
    </row>
    <row r="144" spans="1:13" s="113" customFormat="1" ht="12.75">
      <c r="A144" s="1477"/>
      <c r="B144" s="1477"/>
      <c r="C144" s="1477"/>
      <c r="D144" s="1477"/>
      <c r="E144" s="419"/>
      <c r="F144" s="164"/>
      <c r="G144" s="164"/>
      <c r="H144" s="164"/>
      <c r="I144" s="597"/>
      <c r="J144" s="163"/>
      <c r="K144" s="163"/>
      <c r="M144" s="166"/>
    </row>
    <row r="145" spans="6:8" ht="18" customHeight="1">
      <c r="F145" s="167"/>
      <c r="G145" s="167"/>
      <c r="H145" s="167"/>
    </row>
    <row r="146" spans="6:8" ht="18" customHeight="1">
      <c r="F146" s="597"/>
      <c r="G146" s="597"/>
      <c r="H146" s="597"/>
    </row>
    <row r="147" ht="18" customHeight="1"/>
    <row r="148" spans="1:11" ht="18" customHeight="1">
      <c r="A148" s="157"/>
      <c r="B148" s="157"/>
      <c r="C148" s="157"/>
      <c r="D148" s="163"/>
      <c r="F148" s="170"/>
      <c r="G148" s="170"/>
      <c r="H148" s="170"/>
      <c r="J148" s="170"/>
      <c r="K148" s="170"/>
    </row>
    <row r="149" spans="1:14" ht="18" customHeight="1">
      <c r="A149" s="157"/>
      <c r="B149" s="157"/>
      <c r="C149" s="157"/>
      <c r="D149" s="163"/>
      <c r="F149" s="170"/>
      <c r="G149" s="170"/>
      <c r="H149" s="170"/>
      <c r="J149" s="170"/>
      <c r="K149" s="170"/>
      <c r="L149" s="420"/>
      <c r="M149" s="420"/>
      <c r="N149" s="130"/>
    </row>
    <row r="150" spans="1:11" ht="18" customHeight="1">
      <c r="A150" s="157"/>
      <c r="B150" s="157"/>
      <c r="C150" s="157"/>
      <c r="D150" s="163"/>
      <c r="F150" s="170"/>
      <c r="G150" s="170"/>
      <c r="H150" s="170"/>
      <c r="J150" s="170"/>
      <c r="K150" s="170"/>
    </row>
    <row r="151" spans="1:12" ht="18" customHeight="1">
      <c r="A151" s="157"/>
      <c r="B151" s="157"/>
      <c r="C151" s="157"/>
      <c r="D151" s="163"/>
      <c r="F151" s="718"/>
      <c r="G151" s="718"/>
      <c r="H151" s="718"/>
      <c r="I151" s="718"/>
      <c r="J151" s="718"/>
      <c r="K151" s="718"/>
      <c r="L151" s="718"/>
    </row>
    <row r="152" spans="1:12" ht="18" customHeight="1">
      <c r="A152" s="157"/>
      <c r="B152" s="157"/>
      <c r="C152" s="157"/>
      <c r="D152" s="163"/>
      <c r="F152" s="718"/>
      <c r="G152" s="718"/>
      <c r="H152" s="718"/>
      <c r="I152" s="718"/>
      <c r="J152" s="718"/>
      <c r="K152" s="718"/>
      <c r="L152" s="718"/>
    </row>
    <row r="153" spans="1:12" ht="18" customHeight="1">
      <c r="A153" s="157"/>
      <c r="B153" s="157"/>
      <c r="C153" s="157"/>
      <c r="D153" s="163"/>
      <c r="F153" s="718"/>
      <c r="G153" s="718"/>
      <c r="H153" s="718"/>
      <c r="I153" s="718"/>
      <c r="J153" s="718"/>
      <c r="K153" s="718"/>
      <c r="L153" s="718"/>
    </row>
    <row r="154" spans="1:12" ht="18" customHeight="1">
      <c r="A154" s="157"/>
      <c r="B154" s="157"/>
      <c r="C154" s="157"/>
      <c r="D154" s="163"/>
      <c r="E154" s="718"/>
      <c r="F154" s="718"/>
      <c r="G154" s="718"/>
      <c r="H154" s="718"/>
      <c r="I154" s="718"/>
      <c r="J154" s="718"/>
      <c r="K154" s="718"/>
      <c r="L154" s="718"/>
    </row>
    <row r="155" spans="1:12" ht="18" customHeight="1">
      <c r="A155" s="157"/>
      <c r="B155" s="157"/>
      <c r="C155" s="157"/>
      <c r="D155" s="163"/>
      <c r="F155" s="718"/>
      <c r="G155" s="718"/>
      <c r="H155" s="718"/>
      <c r="I155" s="718"/>
      <c r="J155" s="718"/>
      <c r="K155" s="718"/>
      <c r="L155" s="718"/>
    </row>
    <row r="156" spans="1:12" ht="18" customHeight="1">
      <c r="A156" s="157"/>
      <c r="B156" s="157"/>
      <c r="C156" s="157"/>
      <c r="D156" s="163"/>
      <c r="F156" s="170"/>
      <c r="G156" s="170"/>
      <c r="H156" s="170"/>
      <c r="I156" s="718"/>
      <c r="J156" s="718"/>
      <c r="K156" s="718"/>
      <c r="L156" s="718"/>
    </row>
    <row r="157" spans="1:12" ht="18" customHeight="1">
      <c r="A157" s="157"/>
      <c r="B157" s="157"/>
      <c r="C157" s="157"/>
      <c r="D157" s="163"/>
      <c r="F157" s="170"/>
      <c r="G157" s="170"/>
      <c r="H157" s="170"/>
      <c r="I157" s="718"/>
      <c r="J157" s="718"/>
      <c r="K157" s="718"/>
      <c r="L157" s="718"/>
    </row>
    <row r="158" spans="1:12" ht="18" customHeight="1">
      <c r="A158" s="157"/>
      <c r="B158" s="157"/>
      <c r="C158" s="1027"/>
      <c r="D158" s="1028"/>
      <c r="F158" s="718"/>
      <c r="G158" s="718"/>
      <c r="H158" s="718"/>
      <c r="I158" s="718"/>
      <c r="J158" s="718"/>
      <c r="K158" s="718"/>
      <c r="L158" s="718"/>
    </row>
    <row r="159" spans="1:11" ht="12.75">
      <c r="A159" s="157"/>
      <c r="B159" s="157"/>
      <c r="C159" s="1027"/>
      <c r="D159" s="1028"/>
      <c r="E159" s="718"/>
      <c r="F159" s="718"/>
      <c r="G159" s="718"/>
      <c r="H159" s="718"/>
      <c r="I159" s="718"/>
      <c r="J159" s="718"/>
      <c r="K159" s="170"/>
    </row>
    <row r="160" spans="1:11" ht="12.75">
      <c r="A160" s="157"/>
      <c r="B160" s="157"/>
      <c r="C160" s="1027"/>
      <c r="D160" s="1028"/>
      <c r="E160" s="718"/>
      <c r="F160" s="718"/>
      <c r="G160" s="718"/>
      <c r="H160" s="718"/>
      <c r="I160" s="718"/>
      <c r="J160" s="718"/>
      <c r="K160" s="170"/>
    </row>
    <row r="161" spans="1:11" ht="12.75">
      <c r="A161" s="157"/>
      <c r="B161" s="157"/>
      <c r="C161" s="1027"/>
      <c r="D161" s="1028"/>
      <c r="E161" s="718"/>
      <c r="F161" s="718"/>
      <c r="G161" s="718"/>
      <c r="H161" s="718"/>
      <c r="I161" s="718"/>
      <c r="J161" s="718"/>
      <c r="K161" s="170"/>
    </row>
    <row r="162" spans="1:11" ht="12.75">
      <c r="A162" s="157"/>
      <c r="B162" s="157"/>
      <c r="C162" s="1027"/>
      <c r="D162" s="1028"/>
      <c r="E162" s="718"/>
      <c r="F162" s="718"/>
      <c r="G162" s="718"/>
      <c r="H162" s="718"/>
      <c r="I162" s="718"/>
      <c r="J162" s="718"/>
      <c r="K162" s="170"/>
    </row>
    <row r="163" spans="1:11" ht="12.75">
      <c r="A163" s="157"/>
      <c r="B163" s="157"/>
      <c r="C163" s="157"/>
      <c r="D163" s="163"/>
      <c r="F163" s="170"/>
      <c r="G163" s="170"/>
      <c r="H163" s="170"/>
      <c r="J163" s="170"/>
      <c r="K163" s="170"/>
    </row>
    <row r="164" spans="1:11" ht="12.75">
      <c r="A164" s="157"/>
      <c r="B164" s="157"/>
      <c r="C164" s="157"/>
      <c r="D164" s="163"/>
      <c r="F164" s="170"/>
      <c r="G164" s="170"/>
      <c r="H164" s="170"/>
      <c r="J164" s="170"/>
      <c r="K164" s="170"/>
    </row>
    <row r="165" spans="1:11" ht="12.75">
      <c r="A165" s="157"/>
      <c r="B165" s="157"/>
      <c r="C165" s="157"/>
      <c r="D165" s="163"/>
      <c r="F165" s="170"/>
      <c r="G165" s="170"/>
      <c r="H165" s="170"/>
      <c r="J165" s="170"/>
      <c r="K165" s="170"/>
    </row>
    <row r="166" spans="1:11" ht="12.75">
      <c r="A166" s="157"/>
      <c r="B166" s="157"/>
      <c r="C166" s="157"/>
      <c r="D166" s="163"/>
      <c r="F166" s="170"/>
      <c r="G166" s="170"/>
      <c r="H166" s="170"/>
      <c r="J166" s="170"/>
      <c r="K166" s="170"/>
    </row>
    <row r="167" spans="1:11" ht="12.75">
      <c r="A167" s="157"/>
      <c r="B167" s="157"/>
      <c r="C167" s="157"/>
      <c r="D167" s="163"/>
      <c r="F167" s="170"/>
      <c r="G167" s="170"/>
      <c r="H167" s="170"/>
      <c r="J167" s="170"/>
      <c r="K167" s="170"/>
    </row>
    <row r="168" spans="1:11" ht="12.75">
      <c r="A168" s="157"/>
      <c r="B168" s="157"/>
      <c r="C168" s="157"/>
      <c r="D168" s="163"/>
      <c r="F168" s="170"/>
      <c r="G168" s="170"/>
      <c r="H168" s="170"/>
      <c r="J168" s="170"/>
      <c r="K168" s="170"/>
    </row>
    <row r="169" spans="1:11" ht="12.75">
      <c r="A169" s="157"/>
      <c r="B169" s="157"/>
      <c r="C169" s="157"/>
      <c r="D169" s="163"/>
      <c r="F169" s="170"/>
      <c r="G169" s="170"/>
      <c r="H169" s="170"/>
      <c r="J169" s="170"/>
      <c r="K169" s="170"/>
    </row>
    <row r="170" spans="1:4" ht="12.75">
      <c r="A170" s="157"/>
      <c r="B170" s="157"/>
      <c r="C170" s="157"/>
      <c r="D170" s="163"/>
    </row>
    <row r="171" spans="1:4" ht="12.75">
      <c r="A171" s="157"/>
      <c r="B171" s="157"/>
      <c r="C171" s="157"/>
      <c r="D171" s="163"/>
    </row>
    <row r="172" spans="1:4" ht="12.75">
      <c r="A172" s="157"/>
      <c r="B172" s="157"/>
      <c r="C172" s="157"/>
      <c r="D172" s="163"/>
    </row>
    <row r="173" spans="1:4" ht="12.75">
      <c r="A173" s="157"/>
      <c r="B173" s="157"/>
      <c r="C173" s="157"/>
      <c r="D173" s="163"/>
    </row>
    <row r="174" spans="1:4" ht="12.75">
      <c r="A174" s="157"/>
      <c r="B174" s="157"/>
      <c r="C174" s="157"/>
      <c r="D174" s="163"/>
    </row>
    <row r="175" spans="1:4" ht="12.75">
      <c r="A175" s="157"/>
      <c r="B175" s="157"/>
      <c r="C175" s="157"/>
      <c r="D175" s="163"/>
    </row>
    <row r="176" spans="1:4" ht="12.75">
      <c r="A176" s="157"/>
      <c r="B176" s="157"/>
      <c r="C176" s="157"/>
      <c r="D176" s="163"/>
    </row>
    <row r="177" spans="1:4" ht="12.75">
      <c r="A177" s="157"/>
      <c r="B177" s="157"/>
      <c r="C177" s="157"/>
      <c r="D177" s="163"/>
    </row>
    <row r="178" spans="1:4" ht="12.75">
      <c r="A178" s="157"/>
      <c r="B178" s="157"/>
      <c r="C178" s="157"/>
      <c r="D178" s="163"/>
    </row>
    <row r="179" spans="1:4" ht="12.75">
      <c r="A179" s="157"/>
      <c r="B179" s="157"/>
      <c r="C179" s="157"/>
      <c r="D179" s="163"/>
    </row>
    <row r="180" spans="1:4" ht="12.75">
      <c r="A180" s="157"/>
      <c r="B180" s="157"/>
      <c r="C180" s="157"/>
      <c r="D180" s="163"/>
    </row>
    <row r="181" spans="1:4" ht="12.75">
      <c r="A181" s="157"/>
      <c r="B181" s="157"/>
      <c r="C181" s="157"/>
      <c r="D181" s="163"/>
    </row>
    <row r="182" spans="1:4" ht="12.75">
      <c r="A182" s="157"/>
      <c r="B182" s="157"/>
      <c r="C182" s="157"/>
      <c r="D182" s="163"/>
    </row>
    <row r="183" spans="1:4" ht="12.75">
      <c r="A183" s="157"/>
      <c r="B183" s="157"/>
      <c r="C183" s="157"/>
      <c r="D183" s="163"/>
    </row>
    <row r="184" spans="1:4" ht="12.75">
      <c r="A184" s="157"/>
      <c r="B184" s="157"/>
      <c r="C184" s="157"/>
      <c r="D184" s="163"/>
    </row>
    <row r="185" spans="1:4" ht="12.75">
      <c r="A185" s="157"/>
      <c r="B185" s="157"/>
      <c r="C185" s="157"/>
      <c r="D185" s="163"/>
    </row>
    <row r="186" spans="1:4" ht="12.75">
      <c r="A186" s="157"/>
      <c r="B186" s="157"/>
      <c r="C186" s="157"/>
      <c r="D186" s="163"/>
    </row>
    <row r="187" spans="1:4" ht="12.75">
      <c r="A187" s="157"/>
      <c r="B187" s="157"/>
      <c r="C187" s="157"/>
      <c r="D187" s="163"/>
    </row>
    <row r="188" spans="1:4" ht="12.75">
      <c r="A188" s="157"/>
      <c r="B188" s="157"/>
      <c r="C188" s="157"/>
      <c r="D188" s="163"/>
    </row>
    <row r="189" spans="1:4" ht="12.75">
      <c r="A189" s="157"/>
      <c r="B189" s="157"/>
      <c r="C189" s="157"/>
      <c r="D189" s="163"/>
    </row>
    <row r="190" spans="1:4" ht="12.75">
      <c r="A190" s="157"/>
      <c r="B190" s="157"/>
      <c r="C190" s="157"/>
      <c r="D190" s="163"/>
    </row>
    <row r="191" spans="1:4" ht="12.75">
      <c r="A191" s="157"/>
      <c r="B191" s="157"/>
      <c r="C191" s="157"/>
      <c r="D191" s="163"/>
    </row>
    <row r="192" spans="1:4" ht="12.75">
      <c r="A192" s="157"/>
      <c r="B192" s="157"/>
      <c r="C192" s="157"/>
      <c r="D192" s="163"/>
    </row>
    <row r="193" spans="1:4" ht="12.75">
      <c r="A193" s="157"/>
      <c r="B193" s="157"/>
      <c r="C193" s="157"/>
      <c r="D193" s="163"/>
    </row>
    <row r="194" spans="1:4" ht="12.75">
      <c r="A194" s="157"/>
      <c r="B194" s="157"/>
      <c r="C194" s="157"/>
      <c r="D194" s="163"/>
    </row>
    <row r="195" spans="1:4" ht="12.75">
      <c r="A195" s="157"/>
      <c r="B195" s="157"/>
      <c r="C195" s="157"/>
      <c r="D195" s="163"/>
    </row>
    <row r="196" spans="1:11" ht="12.75">
      <c r="A196" s="157"/>
      <c r="B196" s="157"/>
      <c r="C196" s="157"/>
      <c r="D196" s="1028"/>
      <c r="E196" s="718"/>
      <c r="F196" s="718"/>
      <c r="G196" s="718"/>
      <c r="H196" s="718"/>
      <c r="I196" s="718"/>
      <c r="J196" s="718"/>
      <c r="K196" s="718"/>
    </row>
    <row r="197" spans="1:11" ht="12.75">
      <c r="A197" s="157"/>
      <c r="B197" s="157"/>
      <c r="C197" s="157"/>
      <c r="D197" s="1028"/>
      <c r="E197" s="718"/>
      <c r="F197" s="718"/>
      <c r="G197" s="718"/>
      <c r="H197" s="718"/>
      <c r="I197" s="718"/>
      <c r="J197" s="718"/>
      <c r="K197" s="718"/>
    </row>
    <row r="198" spans="1:11" ht="12.75">
      <c r="A198" s="157"/>
      <c r="B198" s="157"/>
      <c r="C198" s="157"/>
      <c r="D198" s="1028"/>
      <c r="E198" s="718"/>
      <c r="F198" s="718"/>
      <c r="G198" s="718"/>
      <c r="H198" s="718"/>
      <c r="I198" s="718"/>
      <c r="J198" s="718"/>
      <c r="K198" s="718"/>
    </row>
    <row r="199" spans="1:11" ht="12.75">
      <c r="A199" s="157"/>
      <c r="B199" s="157"/>
      <c r="C199" s="157"/>
      <c r="D199" s="1028"/>
      <c r="E199" s="718"/>
      <c r="F199" s="718"/>
      <c r="G199" s="718"/>
      <c r="H199" s="718"/>
      <c r="I199" s="718"/>
      <c r="J199" s="718"/>
      <c r="K199" s="718"/>
    </row>
    <row r="200" spans="1:12" ht="12.75">
      <c r="A200" s="157"/>
      <c r="B200" s="157"/>
      <c r="C200" s="157"/>
      <c r="D200" s="1028"/>
      <c r="E200" s="718"/>
      <c r="F200" s="718"/>
      <c r="G200" s="718"/>
      <c r="H200" s="718"/>
      <c r="I200" s="718"/>
      <c r="J200" s="718"/>
      <c r="K200" s="718"/>
      <c r="L200" s="1037"/>
    </row>
    <row r="201" spans="1:12" ht="12.75">
      <c r="A201" s="157"/>
      <c r="B201" s="157"/>
      <c r="C201" s="157"/>
      <c r="D201" s="1028"/>
      <c r="E201" s="718"/>
      <c r="F201" s="718"/>
      <c r="G201" s="718"/>
      <c r="H201" s="718"/>
      <c r="I201" s="718"/>
      <c r="J201" s="718"/>
      <c r="K201" s="718"/>
      <c r="L201" s="1037"/>
    </row>
    <row r="202" spans="1:11" ht="12.75">
      <c r="A202" s="157"/>
      <c r="B202" s="157"/>
      <c r="C202" s="157"/>
      <c r="D202" s="163"/>
      <c r="E202" s="718"/>
      <c r="F202" s="718"/>
      <c r="G202" s="718"/>
      <c r="H202" s="718"/>
      <c r="I202" s="718"/>
      <c r="J202" s="718"/>
      <c r="K202" s="718"/>
    </row>
    <row r="203" spans="1:11" ht="12.75">
      <c r="A203" s="157"/>
      <c r="B203" s="157"/>
      <c r="C203" s="157"/>
      <c r="D203" s="163"/>
      <c r="E203" s="718"/>
      <c r="F203" s="718"/>
      <c r="G203" s="718"/>
      <c r="H203" s="718"/>
      <c r="I203" s="718"/>
      <c r="J203" s="718"/>
      <c r="K203" s="718"/>
    </row>
    <row r="204" spans="1:11" ht="12.75">
      <c r="A204" s="157"/>
      <c r="B204" s="157"/>
      <c r="C204" s="157"/>
      <c r="D204" s="163"/>
      <c r="E204" s="718"/>
      <c r="F204" s="718"/>
      <c r="G204" s="718"/>
      <c r="H204" s="718"/>
      <c r="I204" s="718"/>
      <c r="J204" s="718"/>
      <c r="K204" s="718"/>
    </row>
    <row r="205" spans="1:11" ht="12.75">
      <c r="A205" s="157"/>
      <c r="B205" s="157"/>
      <c r="C205" s="157"/>
      <c r="D205" s="163"/>
      <c r="E205" s="718"/>
      <c r="F205" s="718"/>
      <c r="G205" s="718"/>
      <c r="H205" s="718"/>
      <c r="I205" s="718"/>
      <c r="J205" s="718"/>
      <c r="K205" s="718"/>
    </row>
    <row r="206" spans="1:11" ht="12.75">
      <c r="A206" s="157"/>
      <c r="B206" s="157"/>
      <c r="C206" s="157"/>
      <c r="D206" s="163"/>
      <c r="E206" s="718"/>
      <c r="F206" s="718"/>
      <c r="G206" s="718"/>
      <c r="H206" s="718"/>
      <c r="I206" s="718"/>
      <c r="J206" s="718"/>
      <c r="K206" s="718"/>
    </row>
    <row r="207" spans="1:11" ht="12.75">
      <c r="A207" s="157"/>
      <c r="B207" s="157"/>
      <c r="C207" s="157"/>
      <c r="D207" s="163"/>
      <c r="E207" s="718"/>
      <c r="F207" s="718"/>
      <c r="G207" s="718"/>
      <c r="H207" s="718"/>
      <c r="I207" s="718"/>
      <c r="J207" s="718"/>
      <c r="K207" s="718"/>
    </row>
    <row r="208" spans="1:11" ht="12.75">
      <c r="A208" s="157"/>
      <c r="B208" s="157"/>
      <c r="C208" s="157"/>
      <c r="D208" s="163"/>
      <c r="E208" s="718"/>
      <c r="F208" s="718"/>
      <c r="G208" s="718"/>
      <c r="H208" s="718"/>
      <c r="I208" s="718"/>
      <c r="J208" s="718"/>
      <c r="K208" s="718"/>
    </row>
    <row r="209" spans="1:11" ht="12.75">
      <c r="A209" s="157"/>
      <c r="B209" s="157"/>
      <c r="C209" s="157"/>
      <c r="D209" s="163"/>
      <c r="E209" s="718"/>
      <c r="F209" s="718"/>
      <c r="G209" s="718"/>
      <c r="H209" s="718"/>
      <c r="I209" s="718"/>
      <c r="J209" s="718"/>
      <c r="K209" s="718"/>
    </row>
    <row r="210" spans="1:4" ht="12.75">
      <c r="A210" s="157"/>
      <c r="B210" s="157"/>
      <c r="C210" s="157"/>
      <c r="D210" s="163"/>
    </row>
    <row r="211" spans="1:4" ht="12.75">
      <c r="A211" s="157"/>
      <c r="B211" s="157"/>
      <c r="C211" s="157"/>
      <c r="D211" s="163"/>
    </row>
    <row r="212" spans="1:4" ht="12.75">
      <c r="A212" s="157"/>
      <c r="B212" s="157"/>
      <c r="C212" s="157"/>
      <c r="D212" s="163"/>
    </row>
    <row r="213" spans="1:4" ht="12.75">
      <c r="A213" s="157"/>
      <c r="B213" s="157"/>
      <c r="C213" s="157"/>
      <c r="D213" s="163"/>
    </row>
    <row r="214" spans="1:4" ht="12.75">
      <c r="A214" s="157"/>
      <c r="B214" s="157"/>
      <c r="C214" s="157"/>
      <c r="D214" s="163"/>
    </row>
    <row r="215" spans="1:4" ht="12.75">
      <c r="A215" s="157"/>
      <c r="B215" s="157"/>
      <c r="C215" s="157"/>
      <c r="D215" s="163"/>
    </row>
    <row r="216" spans="1:4" ht="12.75">
      <c r="A216" s="157"/>
      <c r="B216" s="157"/>
      <c r="C216" s="157"/>
      <c r="D216" s="163"/>
    </row>
    <row r="217" spans="1:4" ht="12.75">
      <c r="A217" s="157"/>
      <c r="B217" s="157"/>
      <c r="C217" s="157"/>
      <c r="D217" s="163"/>
    </row>
    <row r="218" spans="1:4" ht="12.75">
      <c r="A218" s="157"/>
      <c r="B218" s="157"/>
      <c r="C218" s="157"/>
      <c r="D218" s="163"/>
    </row>
    <row r="219" spans="1:4" ht="12.75">
      <c r="A219" s="157"/>
      <c r="B219" s="157"/>
      <c r="C219" s="157"/>
      <c r="D219" s="163"/>
    </row>
    <row r="220" spans="1:4" ht="12.75">
      <c r="A220" s="157"/>
      <c r="B220" s="157"/>
      <c r="C220" s="157"/>
      <c r="D220" s="163"/>
    </row>
    <row r="221" spans="1:4" ht="12.75">
      <c r="A221" s="157"/>
      <c r="B221" s="157"/>
      <c r="C221" s="157"/>
      <c r="D221" s="163"/>
    </row>
    <row r="222" spans="1:4" ht="12.75">
      <c r="A222" s="157"/>
      <c r="B222" s="157"/>
      <c r="C222" s="157"/>
      <c r="D222" s="163"/>
    </row>
    <row r="223" spans="1:4" ht="12.75">
      <c r="A223" s="157"/>
      <c r="B223" s="157"/>
      <c r="C223" s="157"/>
      <c r="D223" s="163"/>
    </row>
    <row r="224" spans="1:4" ht="12.75">
      <c r="A224" s="157"/>
      <c r="B224" s="157"/>
      <c r="C224" s="157"/>
      <c r="D224" s="163"/>
    </row>
    <row r="225" spans="1:4" ht="12.75">
      <c r="A225" s="157"/>
      <c r="B225" s="157"/>
      <c r="C225" s="157"/>
      <c r="D225" s="163"/>
    </row>
    <row r="226" spans="1:4" ht="12.75">
      <c r="A226" s="157"/>
      <c r="B226" s="157"/>
      <c r="C226" s="157"/>
      <c r="D226" s="163"/>
    </row>
    <row r="227" spans="1:4" ht="12.75">
      <c r="A227" s="157"/>
      <c r="B227" s="157"/>
      <c r="C227" s="157"/>
      <c r="D227" s="163"/>
    </row>
    <row r="228" spans="1:4" ht="12.75">
      <c r="A228" s="157"/>
      <c r="B228" s="157"/>
      <c r="C228" s="157"/>
      <c r="D228" s="163"/>
    </row>
    <row r="229" spans="1:4" ht="12.75">
      <c r="A229" s="157"/>
      <c r="B229" s="157"/>
      <c r="C229" s="157"/>
      <c r="D229" s="163"/>
    </row>
    <row r="230" spans="1:4" ht="12.75">
      <c r="A230" s="157"/>
      <c r="B230" s="157"/>
      <c r="C230" s="157"/>
      <c r="D230" s="163"/>
    </row>
    <row r="231" spans="1:4" ht="12.75">
      <c r="A231" s="157"/>
      <c r="B231" s="157"/>
      <c r="C231" s="157"/>
      <c r="D231" s="163"/>
    </row>
    <row r="232" spans="1:4" ht="12.75">
      <c r="A232" s="157"/>
      <c r="B232" s="157"/>
      <c r="C232" s="157"/>
      <c r="D232" s="163"/>
    </row>
    <row r="233" spans="1:4" ht="12.75">
      <c r="A233" s="157"/>
      <c r="B233" s="157"/>
      <c r="C233" s="157"/>
      <c r="D233" s="163"/>
    </row>
    <row r="234" spans="1:4" ht="12.75">
      <c r="A234" s="157"/>
      <c r="B234" s="157"/>
      <c r="C234" s="157"/>
      <c r="D234" s="163"/>
    </row>
    <row r="235" spans="1:4" ht="12.75">
      <c r="A235" s="157"/>
      <c r="B235" s="157"/>
      <c r="C235" s="157"/>
      <c r="D235" s="163"/>
    </row>
    <row r="236" spans="1:4" ht="12.75">
      <c r="A236" s="157"/>
      <c r="B236" s="157"/>
      <c r="C236" s="157"/>
      <c r="D236" s="163"/>
    </row>
    <row r="237" spans="1:4" ht="12.75">
      <c r="A237" s="157"/>
      <c r="B237" s="157"/>
      <c r="C237" s="157"/>
      <c r="D237" s="163"/>
    </row>
    <row r="238" spans="1:4" ht="12.75">
      <c r="A238" s="157"/>
      <c r="B238" s="157"/>
      <c r="C238" s="157"/>
      <c r="D238" s="163"/>
    </row>
    <row r="239" spans="1:4" ht="12.75">
      <c r="A239" s="157"/>
      <c r="B239" s="157"/>
      <c r="C239" s="157"/>
      <c r="D239" s="163"/>
    </row>
    <row r="240" spans="1:4" ht="12.75">
      <c r="A240" s="157"/>
      <c r="B240" s="157"/>
      <c r="C240" s="157"/>
      <c r="D240" s="163"/>
    </row>
    <row r="241" spans="1:4" ht="12.75">
      <c r="A241" s="157"/>
      <c r="B241" s="157"/>
      <c r="C241" s="157"/>
      <c r="D241" s="163"/>
    </row>
    <row r="242" spans="1:4" ht="12.75">
      <c r="A242" s="157"/>
      <c r="B242" s="157"/>
      <c r="C242" s="157"/>
      <c r="D242" s="163"/>
    </row>
    <row r="243" spans="1:4" ht="12.75">
      <c r="A243" s="157"/>
      <c r="B243" s="157"/>
      <c r="C243" s="157"/>
      <c r="D243" s="163"/>
    </row>
    <row r="244" spans="1:4" ht="12.75">
      <c r="A244" s="157"/>
      <c r="B244" s="157"/>
      <c r="C244" s="157"/>
      <c r="D244" s="163"/>
    </row>
    <row r="245" spans="1:4" ht="12.75">
      <c r="A245" s="157"/>
      <c r="B245" s="157"/>
      <c r="C245" s="157"/>
      <c r="D245" s="163"/>
    </row>
    <row r="246" spans="1:4" ht="12.75">
      <c r="A246" s="157"/>
      <c r="B246" s="157"/>
      <c r="C246" s="157"/>
      <c r="D246" s="163"/>
    </row>
    <row r="247" spans="1:4" ht="12.75">
      <c r="A247" s="157"/>
      <c r="B247" s="157"/>
      <c r="C247" s="157"/>
      <c r="D247" s="163"/>
    </row>
    <row r="248" spans="1:4" ht="12.75">
      <c r="A248" s="157"/>
      <c r="B248" s="157"/>
      <c r="C248" s="157"/>
      <c r="D248" s="163"/>
    </row>
    <row r="249" spans="1:4" ht="12.75">
      <c r="A249" s="157"/>
      <c r="B249" s="157"/>
      <c r="C249" s="157"/>
      <c r="D249" s="163"/>
    </row>
    <row r="250" spans="1:4" ht="12.75">
      <c r="A250" s="157"/>
      <c r="B250" s="157"/>
      <c r="C250" s="157"/>
      <c r="D250" s="163"/>
    </row>
    <row r="251" spans="1:4" ht="12.75">
      <c r="A251" s="157"/>
      <c r="B251" s="157"/>
      <c r="C251" s="157"/>
      <c r="D251" s="163"/>
    </row>
    <row r="252" spans="1:4" ht="12.75">
      <c r="A252" s="157"/>
      <c r="B252" s="157"/>
      <c r="C252" s="157"/>
      <c r="D252" s="163"/>
    </row>
    <row r="253" spans="1:4" ht="12.75">
      <c r="A253" s="157"/>
      <c r="B253" s="157"/>
      <c r="C253" s="157"/>
      <c r="D253" s="163"/>
    </row>
    <row r="254" spans="1:4" ht="12.75">
      <c r="A254" s="157"/>
      <c r="B254" s="157"/>
      <c r="C254" s="157"/>
      <c r="D254" s="163"/>
    </row>
    <row r="255" spans="1:4" ht="12.75">
      <c r="A255" s="157"/>
      <c r="B255" s="157"/>
      <c r="C255" s="157"/>
      <c r="D255" s="163"/>
    </row>
    <row r="256" spans="1:4" ht="12.75">
      <c r="A256" s="157"/>
      <c r="B256" s="157"/>
      <c r="C256" s="157"/>
      <c r="D256" s="163"/>
    </row>
    <row r="257" spans="1:4" ht="12.75">
      <c r="A257" s="157"/>
      <c r="B257" s="157"/>
      <c r="C257" s="157"/>
      <c r="D257" s="163"/>
    </row>
    <row r="258" spans="1:4" ht="12.75">
      <c r="A258" s="157"/>
      <c r="B258" s="157"/>
      <c r="C258" s="157"/>
      <c r="D258" s="163"/>
    </row>
    <row r="259" spans="1:4" ht="12.75">
      <c r="A259" s="157"/>
      <c r="B259" s="157"/>
      <c r="C259" s="157"/>
      <c r="D259" s="163"/>
    </row>
    <row r="260" spans="1:4" ht="12.75">
      <c r="A260" s="157"/>
      <c r="B260" s="157"/>
      <c r="C260" s="157"/>
      <c r="D260" s="163"/>
    </row>
    <row r="261" spans="1:4" ht="12.75">
      <c r="A261" s="157"/>
      <c r="B261" s="157"/>
      <c r="C261" s="157"/>
      <c r="D261" s="163"/>
    </row>
  </sheetData>
  <sheetProtection/>
  <mergeCells count="104">
    <mergeCell ref="A134:B134"/>
    <mergeCell ref="A137:B137"/>
    <mergeCell ref="A139:M139"/>
    <mergeCell ref="A143:B143"/>
    <mergeCell ref="A144:D144"/>
    <mergeCell ref="A126:B126"/>
    <mergeCell ref="A127:B127"/>
    <mergeCell ref="A128:B128"/>
    <mergeCell ref="A130:B130"/>
    <mergeCell ref="A131:B131"/>
    <mergeCell ref="A116:B116"/>
    <mergeCell ref="A133:B133"/>
    <mergeCell ref="A119:B119"/>
    <mergeCell ref="A120:B120"/>
    <mergeCell ref="A122:B122"/>
    <mergeCell ref="A123:B123"/>
    <mergeCell ref="A124:B124"/>
    <mergeCell ref="A125:B125"/>
    <mergeCell ref="A129:B129"/>
    <mergeCell ref="A132:B132"/>
    <mergeCell ref="A109:B109"/>
    <mergeCell ref="A111:B111"/>
    <mergeCell ref="A112:B112"/>
    <mergeCell ref="A113:B113"/>
    <mergeCell ref="A115:B115"/>
    <mergeCell ref="A110:B110"/>
    <mergeCell ref="A102:B102"/>
    <mergeCell ref="A103:B103"/>
    <mergeCell ref="A104:B104"/>
    <mergeCell ref="A105:B105"/>
    <mergeCell ref="A107:B107"/>
    <mergeCell ref="A108:B108"/>
    <mergeCell ref="A93:B93"/>
    <mergeCell ref="A98:B98"/>
    <mergeCell ref="A99:B99"/>
    <mergeCell ref="A100:B100"/>
    <mergeCell ref="A92:B92"/>
    <mergeCell ref="A101:B101"/>
    <mergeCell ref="A75:B75"/>
    <mergeCell ref="A76:B76"/>
    <mergeCell ref="M87:M89"/>
    <mergeCell ref="B82:F82"/>
    <mergeCell ref="A91:B91"/>
    <mergeCell ref="A78:B78"/>
    <mergeCell ref="A84:F84"/>
    <mergeCell ref="A87:B89"/>
    <mergeCell ref="E87:G88"/>
    <mergeCell ref="H87:H90"/>
    <mergeCell ref="A68:B68"/>
    <mergeCell ref="A69:B69"/>
    <mergeCell ref="A70:B70"/>
    <mergeCell ref="B80:D80"/>
    <mergeCell ref="B81:F81"/>
    <mergeCell ref="B83:D83"/>
    <mergeCell ref="A71:B71"/>
    <mergeCell ref="A72:B72"/>
    <mergeCell ref="A73:B73"/>
    <mergeCell ref="A74:B74"/>
    <mergeCell ref="A61:B61"/>
    <mergeCell ref="A62:B62"/>
    <mergeCell ref="A64:B64"/>
    <mergeCell ref="A65:B65"/>
    <mergeCell ref="A66:B66"/>
    <mergeCell ref="A67:B67"/>
    <mergeCell ref="A55:B55"/>
    <mergeCell ref="A57:B57"/>
    <mergeCell ref="A58:B58"/>
    <mergeCell ref="A54:B54"/>
    <mergeCell ref="A59:B59"/>
    <mergeCell ref="A60:B60"/>
    <mergeCell ref="A37:B37"/>
    <mergeCell ref="A38:B38"/>
    <mergeCell ref="A39:B39"/>
    <mergeCell ref="A40:B40"/>
    <mergeCell ref="A47:B47"/>
    <mergeCell ref="A53:B53"/>
    <mergeCell ref="A31:B31"/>
    <mergeCell ref="A32:B32"/>
    <mergeCell ref="A33:B33"/>
    <mergeCell ref="A34:B34"/>
    <mergeCell ref="A35:B35"/>
    <mergeCell ref="A36:B36"/>
    <mergeCell ref="A19:B19"/>
    <mergeCell ref="A20:B20"/>
    <mergeCell ref="A21:B21"/>
    <mergeCell ref="A22:B22"/>
    <mergeCell ref="A23:B23"/>
    <mergeCell ref="A24:B24"/>
    <mergeCell ref="A5:F5"/>
    <mergeCell ref="A8:B10"/>
    <mergeCell ref="A13:B13"/>
    <mergeCell ref="A14:B14"/>
    <mergeCell ref="A17:B17"/>
    <mergeCell ref="A15:B15"/>
    <mergeCell ref="I87:K88"/>
    <mergeCell ref="L87:L89"/>
    <mergeCell ref="M8:M10"/>
    <mergeCell ref="A12:B12"/>
    <mergeCell ref="A16:B16"/>
    <mergeCell ref="A18:B18"/>
    <mergeCell ref="E8:G9"/>
    <mergeCell ref="H8:H11"/>
    <mergeCell ref="I8:K9"/>
    <mergeCell ref="L8:L10"/>
  </mergeCells>
  <printOptions horizontalCentered="1"/>
  <pageMargins left="0.42986111111111114" right="0.23611111111111113" top="0.5" bottom="0.39375" header="0.39" footer="0"/>
  <pageSetup fitToHeight="0" fitToWidth="1" horizontalDpi="600" verticalDpi="600" orientation="portrait" paperSize="9" scale="53" r:id="rId2"/>
  <headerFooter alignWithMargins="0">
    <oddFooter>&amp;C&amp;A</oddFooter>
  </headerFooter>
  <rowBreaks count="1" manualBreakCount="1">
    <brk id="79" max="255" man="1"/>
  </rowBreaks>
  <ignoredErrors>
    <ignoredError sqref="E103 I103 M103 D13 M17 M20 I17 J70 E62 J31 D46:E46 D98:E98 D100:E100 D123:E123 I123 I127 E127 M75 M70 M62 M57 M46 M35 M31 I46 I100 I98 M100 M98 M108 M113 M117 M119 M123 M127 M131 F17 G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X81"/>
  <sheetViews>
    <sheetView showGridLines="0" zoomScaleSheetLayoutView="109" zoomScalePageLayoutView="0" workbookViewId="0" topLeftCell="L1">
      <selection activeCell="R11" sqref="R11"/>
    </sheetView>
  </sheetViews>
  <sheetFormatPr defaultColWidth="9.140625" defaultRowHeight="15" customHeight="1"/>
  <cols>
    <col min="1" max="1" width="31.28125" style="171" customWidth="1"/>
    <col min="2" max="2" width="13.00390625" style="123" hidden="1" customWidth="1"/>
    <col min="3" max="3" width="13.57421875" style="122" hidden="1" customWidth="1"/>
    <col min="4" max="4" width="12.8515625" style="0" customWidth="1"/>
    <col min="5" max="5" width="15.421875" style="121" customWidth="1"/>
    <col min="6" max="6" width="12.8515625" style="0" bestFit="1" customWidth="1"/>
    <col min="7" max="7" width="15.421875" style="121" customWidth="1"/>
    <col min="8" max="8" width="12.8515625" style="0" bestFit="1" customWidth="1"/>
    <col min="9" max="9" width="15.421875" style="121" customWidth="1"/>
    <col min="10" max="10" width="12.8515625" style="0" bestFit="1" customWidth="1"/>
    <col min="11" max="15" width="15.421875" style="121" customWidth="1"/>
    <col min="16" max="16" width="15.00390625" style="533" customWidth="1"/>
    <col min="17" max="17" width="18.00390625" style="122" customWidth="1"/>
    <col min="18" max="18" width="18.8515625" style="122" customWidth="1"/>
    <col min="19" max="20" width="14.57421875" style="122" customWidth="1"/>
    <col min="21" max="21" width="13.57421875" style="122" bestFit="1" customWidth="1"/>
    <col min="22" max="23" width="11.140625" style="122" bestFit="1" customWidth="1"/>
    <col min="24" max="16384" width="9.140625" style="122" customWidth="1"/>
  </cols>
  <sheetData>
    <row r="1" spans="1:21" ht="15" customHeight="1">
      <c r="A1" s="1486" t="s">
        <v>808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21"/>
      <c r="S1" s="121"/>
      <c r="T1" s="121"/>
      <c r="U1" s="121"/>
    </row>
    <row r="2" spans="1:21" ht="15" customHeight="1">
      <c r="A2" s="1486" t="s">
        <v>0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21"/>
      <c r="S2" s="121"/>
      <c r="T2" s="121"/>
      <c r="U2" s="121"/>
    </row>
    <row r="3" spans="1:21" ht="15" customHeight="1">
      <c r="A3" s="1487" t="s">
        <v>183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487"/>
      <c r="R3" s="121"/>
      <c r="S3" s="121"/>
      <c r="T3" s="121"/>
      <c r="U3" s="121"/>
    </row>
    <row r="4" spans="1:21" ht="15" customHeight="1">
      <c r="A4" s="1488" t="s">
        <v>2</v>
      </c>
      <c r="B4" s="1488"/>
      <c r="C4" s="1488"/>
      <c r="D4" s="1488"/>
      <c r="E4" s="1488"/>
      <c r="F4" s="1488"/>
      <c r="G4" s="1488"/>
      <c r="H4" s="1488"/>
      <c r="I4" s="1488"/>
      <c r="J4" s="1488"/>
      <c r="K4" s="1488"/>
      <c r="L4" s="1488"/>
      <c r="M4" s="1488"/>
      <c r="N4" s="1488"/>
      <c r="O4" s="1488"/>
      <c r="P4" s="1488"/>
      <c r="Q4" s="1488"/>
      <c r="R4" s="380"/>
      <c r="S4" s="121"/>
      <c r="T4" s="121"/>
      <c r="U4" s="121"/>
    </row>
    <row r="5" spans="1:21" s="1" customFormat="1" ht="15.75" customHeight="1">
      <c r="A5" s="456" t="str">
        <f>'Anexo 1 _ BAL ORC'!A4:F4</f>
        <v>Referência: JANEIRO-ABRIL/2015; BIMESTRE: MARÇO-ABRIL/2015</v>
      </c>
      <c r="B5" s="456"/>
      <c r="C5" s="456"/>
      <c r="D5" s="32"/>
      <c r="E5" s="32"/>
      <c r="F5" s="32"/>
      <c r="G5" s="32"/>
      <c r="H5" s="32"/>
      <c r="J5" s="1382"/>
      <c r="K5" s="1382"/>
      <c r="L5" s="1382"/>
      <c r="M5" s="1382"/>
      <c r="N5" s="1382"/>
      <c r="O5" s="1382" t="str">
        <f>'Anexo 1 _ BAL ORC'!H3</f>
        <v>Publicação: Diário Oficial do Município nº 96</v>
      </c>
      <c r="P5" s="1382"/>
      <c r="Q5" s="1382"/>
      <c r="R5" s="82"/>
      <c r="S5" s="82"/>
      <c r="T5" s="82"/>
      <c r="U5" s="32"/>
    </row>
    <row r="6" spans="1:21" ht="15" customHeight="1">
      <c r="A6" s="457"/>
      <c r="B6" s="457"/>
      <c r="C6" s="457"/>
      <c r="D6" s="1025"/>
      <c r="E6" s="380"/>
      <c r="F6" s="1025"/>
      <c r="G6" s="380"/>
      <c r="H6" s="1025"/>
      <c r="J6" s="1383"/>
      <c r="K6" s="1383"/>
      <c r="L6" s="1383"/>
      <c r="M6" s="1383"/>
      <c r="N6" s="1383"/>
      <c r="O6" s="1383" t="str">
        <f>'Anexo 1 _ BAL ORC'!H4</f>
        <v>Data: 22/05/2015</v>
      </c>
      <c r="P6" s="1383"/>
      <c r="Q6" s="176"/>
      <c r="R6" s="177"/>
      <c r="S6" s="177"/>
      <c r="T6" s="177"/>
      <c r="U6" s="121"/>
    </row>
    <row r="7" spans="1:21" ht="15" customHeight="1">
      <c r="A7" s="743" t="s">
        <v>822</v>
      </c>
      <c r="B7" s="458"/>
      <c r="C7" s="121"/>
      <c r="D7" s="1025"/>
      <c r="E7" s="380"/>
      <c r="F7" s="1025"/>
      <c r="G7" s="380"/>
      <c r="H7" s="1025"/>
      <c r="I7" s="380"/>
      <c r="J7" s="1025"/>
      <c r="K7" s="380"/>
      <c r="L7" s="380"/>
      <c r="M7" s="380"/>
      <c r="N7" s="380"/>
      <c r="O7" s="380"/>
      <c r="Q7" s="400"/>
      <c r="R7" s="539"/>
      <c r="S7" s="177"/>
      <c r="T7" s="177"/>
      <c r="U7" s="121"/>
    </row>
    <row r="8" spans="1:18" s="121" customFormat="1" ht="15" customHeight="1">
      <c r="A8" s="1489" t="s">
        <v>184</v>
      </c>
      <c r="B8" s="1478"/>
      <c r="C8" s="1479"/>
      <c r="D8" s="1480" t="s">
        <v>824</v>
      </c>
      <c r="E8" s="1484" t="s">
        <v>825</v>
      </c>
      <c r="F8" s="1480" t="s">
        <v>826</v>
      </c>
      <c r="G8" s="1484" t="s">
        <v>827</v>
      </c>
      <c r="H8" s="1492" t="s">
        <v>830</v>
      </c>
      <c r="I8" s="1482" t="s">
        <v>831</v>
      </c>
      <c r="J8" s="1491" t="s">
        <v>838</v>
      </c>
      <c r="K8" s="1484" t="s">
        <v>839</v>
      </c>
      <c r="L8" s="1482" t="s">
        <v>846</v>
      </c>
      <c r="M8" s="1482" t="s">
        <v>809</v>
      </c>
      <c r="N8" s="1492" t="s">
        <v>934</v>
      </c>
      <c r="O8" s="1482" t="s">
        <v>935</v>
      </c>
      <c r="P8" s="1494" t="s">
        <v>563</v>
      </c>
      <c r="Q8" s="1496" t="s">
        <v>922</v>
      </c>
      <c r="R8" s="744"/>
    </row>
    <row r="9" spans="1:18" s="121" customFormat="1" ht="15" customHeight="1">
      <c r="A9" s="1490"/>
      <c r="B9" s="179" t="s">
        <v>185</v>
      </c>
      <c r="C9" s="179" t="s">
        <v>186</v>
      </c>
      <c r="D9" s="1481"/>
      <c r="E9" s="1485"/>
      <c r="F9" s="1481"/>
      <c r="G9" s="1485"/>
      <c r="H9" s="1493"/>
      <c r="I9" s="1483"/>
      <c r="J9" s="1481"/>
      <c r="K9" s="1485"/>
      <c r="L9" s="1483"/>
      <c r="M9" s="1483"/>
      <c r="N9" s="1493"/>
      <c r="O9" s="1483"/>
      <c r="P9" s="1495"/>
      <c r="Q9" s="1497"/>
      <c r="R9" s="183"/>
    </row>
    <row r="10" spans="1:21" s="1283" customFormat="1" ht="15" customHeight="1">
      <c r="A10" s="735" t="s">
        <v>187</v>
      </c>
      <c r="B10" s="745">
        <f>B11+B17+B18+B19+B20+B29</f>
        <v>127873694.01</v>
      </c>
      <c r="C10" s="745">
        <f>C11+C17+C18+C19+C20+C29</f>
        <v>130000401.16999999</v>
      </c>
      <c r="D10" s="1026">
        <f aca="true" t="shared" si="0" ref="D10:Q10">D11+D17+D18+D19+D20+D29</f>
        <v>211182912.51999998</v>
      </c>
      <c r="E10" s="746">
        <f t="shared" si="0"/>
        <v>196232156.87</v>
      </c>
      <c r="F10" s="1026">
        <f t="shared" si="0"/>
        <v>179015003.92</v>
      </c>
      <c r="G10" s="746">
        <f t="shared" si="0"/>
        <v>194057666.51</v>
      </c>
      <c r="H10" s="746">
        <f t="shared" si="0"/>
        <v>178691282.61999997</v>
      </c>
      <c r="I10" s="746">
        <f aca="true" t="shared" si="1" ref="I10:O10">I11+I17+I18+I19+I20+I29</f>
        <v>183683216.73999998</v>
      </c>
      <c r="J10" s="746">
        <f t="shared" si="1"/>
        <v>188337852.66</v>
      </c>
      <c r="K10" s="746">
        <f t="shared" si="1"/>
        <v>225341841.82000005</v>
      </c>
      <c r="L10" s="746">
        <f t="shared" si="1"/>
        <v>207310123.88000003</v>
      </c>
      <c r="M10" s="746">
        <f t="shared" si="1"/>
        <v>217451144.79000002</v>
      </c>
      <c r="N10" s="746">
        <f t="shared" si="1"/>
        <v>187315904.65</v>
      </c>
      <c r="O10" s="746">
        <f t="shared" si="1"/>
        <v>220895724.88000003</v>
      </c>
      <c r="P10" s="746">
        <f t="shared" si="0"/>
        <v>2389514831.8599997</v>
      </c>
      <c r="Q10" s="747">
        <f t="shared" si="0"/>
        <v>2699557895.13</v>
      </c>
      <c r="R10" s="741"/>
      <c r="S10" s="916"/>
      <c r="T10" s="1280"/>
      <c r="U10" s="1281"/>
    </row>
    <row r="11" spans="1:30" s="1283" customFormat="1" ht="15" customHeight="1">
      <c r="A11" s="736" t="s">
        <v>188</v>
      </c>
      <c r="B11" s="748">
        <f>B12+B13+B14+B16+B15</f>
        <v>34116237.169999994</v>
      </c>
      <c r="C11" s="748">
        <f>C12+C13+C14+C16+C15</f>
        <v>26251771.72</v>
      </c>
      <c r="D11" s="750">
        <f>D12+D13+D14+D15+D16</f>
        <v>44804176.25</v>
      </c>
      <c r="E11" s="749">
        <f>E12+E13+E14+E15+E16</f>
        <v>55609854.18</v>
      </c>
      <c r="F11" s="750">
        <f>F12+F13+F14+F15+F16</f>
        <v>42946382.65</v>
      </c>
      <c r="G11" s="749">
        <f aca="true" t="shared" si="2" ref="G11:Q11">G12+G13+G14+G15+G16</f>
        <v>50519664.13</v>
      </c>
      <c r="H11" s="749">
        <f t="shared" si="2"/>
        <v>46770710.29</v>
      </c>
      <c r="I11" s="749">
        <f t="shared" si="2"/>
        <v>46460629.269999996</v>
      </c>
      <c r="J11" s="749">
        <f t="shared" si="2"/>
        <v>46078128.13</v>
      </c>
      <c r="K11" s="749">
        <f t="shared" si="2"/>
        <v>51950189.76000001</v>
      </c>
      <c r="L11" s="749">
        <f t="shared" si="2"/>
        <v>46255823.69</v>
      </c>
      <c r="M11" s="749">
        <f t="shared" si="2"/>
        <v>38679179.93</v>
      </c>
      <c r="N11" s="749">
        <f t="shared" si="2"/>
        <v>45026892.3</v>
      </c>
      <c r="O11" s="749">
        <f>O12+O13+O14+O15+O16</f>
        <v>43856093.79</v>
      </c>
      <c r="P11" s="749">
        <f t="shared" si="2"/>
        <v>558957724.3699999</v>
      </c>
      <c r="Q11" s="750">
        <f t="shared" si="2"/>
        <v>652506865</v>
      </c>
      <c r="R11" s="749"/>
      <c r="S11" s="914"/>
      <c r="T11" s="1284"/>
      <c r="U11" s="1285"/>
      <c r="V11" s="1286"/>
      <c r="W11" s="1286"/>
      <c r="X11" s="1286"/>
      <c r="Y11" s="1286"/>
      <c r="Z11" s="1286"/>
      <c r="AA11" s="1286"/>
      <c r="AB11" s="1286"/>
      <c r="AC11" s="1286"/>
      <c r="AD11" s="1286"/>
    </row>
    <row r="12" spans="1:21" s="1282" customFormat="1" ht="15" customHeight="1">
      <c r="A12" s="1287" t="s">
        <v>189</v>
      </c>
      <c r="B12" s="751">
        <v>10930798.32</v>
      </c>
      <c r="C12" s="751">
        <v>2532213.38</v>
      </c>
      <c r="D12" s="757">
        <v>8745424.89</v>
      </c>
      <c r="E12" s="752">
        <v>17413761.26</v>
      </c>
      <c r="F12" s="757">
        <v>5025403.67</v>
      </c>
      <c r="G12" s="752">
        <v>3824368.94</v>
      </c>
      <c r="H12" s="757">
        <v>2784510.32</v>
      </c>
      <c r="I12" s="752">
        <v>2506255.11</v>
      </c>
      <c r="J12" s="752">
        <v>2054836.4</v>
      </c>
      <c r="K12" s="752">
        <v>3341018.52</v>
      </c>
      <c r="L12" s="752">
        <v>13705.2</v>
      </c>
      <c r="M12" s="752">
        <v>83720.8</v>
      </c>
      <c r="N12" s="752">
        <v>175924.42</v>
      </c>
      <c r="O12" s="752">
        <v>420512.43</v>
      </c>
      <c r="P12" s="753">
        <f aca="true" t="shared" si="3" ref="P12:P19">SUM(D12:O12)</f>
        <v>46389441.96</v>
      </c>
      <c r="Q12" s="734">
        <v>51278597</v>
      </c>
      <c r="R12" s="1280"/>
      <c r="S12" s="1280"/>
      <c r="T12" s="1280"/>
      <c r="U12" s="1288"/>
    </row>
    <row r="13" spans="1:23" s="1282" customFormat="1" ht="15" customHeight="1">
      <c r="A13" s="1287" t="s">
        <v>190</v>
      </c>
      <c r="B13" s="751">
        <v>19872263.16</v>
      </c>
      <c r="C13" s="751">
        <v>20590409.12</v>
      </c>
      <c r="D13" s="757">
        <v>29396412.13</v>
      </c>
      <c r="E13" s="752">
        <v>30721364.52</v>
      </c>
      <c r="F13" s="757">
        <v>30933367.58</v>
      </c>
      <c r="G13" s="752">
        <v>38446167.29</v>
      </c>
      <c r="H13" s="757">
        <v>36556892.59</v>
      </c>
      <c r="I13" s="752">
        <v>36581886.26</v>
      </c>
      <c r="J13" s="752">
        <v>37524110.1</v>
      </c>
      <c r="K13" s="752">
        <v>39421619.77</v>
      </c>
      <c r="L13" s="752">
        <v>37246709.23</v>
      </c>
      <c r="M13" s="752">
        <v>32277211.27</v>
      </c>
      <c r="N13" s="752">
        <v>32805909.72</v>
      </c>
      <c r="O13" s="752">
        <v>35506075.08</v>
      </c>
      <c r="P13" s="753">
        <f t="shared" si="3"/>
        <v>417417725.5399999</v>
      </c>
      <c r="Q13" s="734">
        <v>509804371</v>
      </c>
      <c r="R13" s="1280"/>
      <c r="S13" s="1280"/>
      <c r="T13" s="1280"/>
      <c r="U13" s="1288"/>
      <c r="V13" s="1289"/>
      <c r="W13" s="1290"/>
    </row>
    <row r="14" spans="1:22" s="1282" customFormat="1" ht="15" customHeight="1">
      <c r="A14" s="1287" t="s">
        <v>191</v>
      </c>
      <c r="B14" s="751">
        <v>665932.47</v>
      </c>
      <c r="C14" s="751">
        <v>865344.59</v>
      </c>
      <c r="D14" s="757">
        <v>2698652.28</v>
      </c>
      <c r="E14" s="752">
        <v>2398980.8</v>
      </c>
      <c r="F14" s="757">
        <v>2311338.44</v>
      </c>
      <c r="G14" s="752">
        <v>2479572.56</v>
      </c>
      <c r="H14" s="757">
        <v>2390460.37</v>
      </c>
      <c r="I14" s="752">
        <v>3062216.61</v>
      </c>
      <c r="J14" s="752">
        <v>2217935.44</v>
      </c>
      <c r="K14" s="752">
        <v>2882104.77</v>
      </c>
      <c r="L14" s="752">
        <v>2585913.35</v>
      </c>
      <c r="M14" s="752">
        <v>2043737.98</v>
      </c>
      <c r="N14" s="752">
        <v>2439972.65</v>
      </c>
      <c r="O14" s="752">
        <v>2724702.21</v>
      </c>
      <c r="P14" s="753">
        <f t="shared" si="3"/>
        <v>30235587.46</v>
      </c>
      <c r="Q14" s="754">
        <v>30629116</v>
      </c>
      <c r="R14" s="1280"/>
      <c r="S14" s="1280"/>
      <c r="T14" s="1280"/>
      <c r="U14" s="1288"/>
      <c r="V14" s="1289"/>
    </row>
    <row r="15" spans="1:22" s="1282" customFormat="1" ht="15" customHeight="1">
      <c r="A15" s="1287" t="s">
        <v>192</v>
      </c>
      <c r="B15" s="751">
        <v>1742328.89</v>
      </c>
      <c r="C15" s="751">
        <v>1555745.25</v>
      </c>
      <c r="D15" s="757">
        <v>2887379.17</v>
      </c>
      <c r="E15" s="752">
        <v>4250318.11</v>
      </c>
      <c r="F15" s="757">
        <v>3714609.97</v>
      </c>
      <c r="G15" s="752">
        <v>4841317.33</v>
      </c>
      <c r="H15" s="757">
        <v>3769833.65</v>
      </c>
      <c r="I15" s="752">
        <v>3771438.26</v>
      </c>
      <c r="J15" s="752">
        <v>3688863.42</v>
      </c>
      <c r="K15" s="752">
        <v>5429451.66</v>
      </c>
      <c r="L15" s="752">
        <v>6021279.04</v>
      </c>
      <c r="M15" s="752">
        <v>3954756.93</v>
      </c>
      <c r="N15" s="752">
        <v>3933487.13</v>
      </c>
      <c r="O15" s="752">
        <v>4081344.51</v>
      </c>
      <c r="P15" s="753">
        <f t="shared" si="3"/>
        <v>50344079.18000001</v>
      </c>
      <c r="Q15" s="754">
        <v>43270749</v>
      </c>
      <c r="R15" s="1280"/>
      <c r="S15" s="1280"/>
      <c r="T15" s="1280"/>
      <c r="U15" s="1288"/>
      <c r="V15" s="1289"/>
    </row>
    <row r="16" spans="1:22" s="288" customFormat="1" ht="15" customHeight="1">
      <c r="A16" s="1287" t="s">
        <v>193</v>
      </c>
      <c r="B16" s="752">
        <v>904914.33</v>
      </c>
      <c r="C16" s="752">
        <v>708059.38</v>
      </c>
      <c r="D16" s="963">
        <v>1076307.78</v>
      </c>
      <c r="E16" s="552">
        <f>55609854.18-54784424.69</f>
        <v>825429.4900000021</v>
      </c>
      <c r="F16" s="963">
        <f>42946382.65-41984719.66</f>
        <v>961662.9900000021</v>
      </c>
      <c r="G16" s="552">
        <f>50519664.13-49591426.12</f>
        <v>928238.0100000054</v>
      </c>
      <c r="H16" s="963">
        <f>46770710.29-45501696.93</f>
        <v>1269013.3599999994</v>
      </c>
      <c r="I16" s="552">
        <f>46460629.27-45921796.24</f>
        <v>538833.0300000012</v>
      </c>
      <c r="J16" s="552">
        <f>46078128.13-45485745.36</f>
        <v>592382.7700000033</v>
      </c>
      <c r="K16" s="552">
        <f>51950189.76-51074194.72</f>
        <v>875995.0399999991</v>
      </c>
      <c r="L16" s="552">
        <f>46255823.69-45867606.82</f>
        <v>388216.8699999973</v>
      </c>
      <c r="M16" s="552">
        <f>38679179.93-38359426.98</f>
        <v>319752.950000003</v>
      </c>
      <c r="N16" s="1015">
        <f>45026892.3-39355293.92</f>
        <v>5671598.379999995</v>
      </c>
      <c r="O16" s="552">
        <f>43856093.79-42732634.23</f>
        <v>1123459.5600000024</v>
      </c>
      <c r="P16" s="753">
        <f t="shared" si="3"/>
        <v>14570890.230000012</v>
      </c>
      <c r="Q16" s="734">
        <f>652506865-634982833</f>
        <v>17524032</v>
      </c>
      <c r="R16" s="373"/>
      <c r="S16" s="1280"/>
      <c r="T16" s="373"/>
      <c r="U16" s="1288"/>
      <c r="V16" s="236"/>
    </row>
    <row r="17" spans="1:21" s="1286" customFormat="1" ht="15" customHeight="1">
      <c r="A17" s="736" t="s">
        <v>194</v>
      </c>
      <c r="B17" s="748">
        <v>5577502.2</v>
      </c>
      <c r="C17" s="748">
        <v>5595518.79</v>
      </c>
      <c r="D17" s="758">
        <v>10327066.27</v>
      </c>
      <c r="E17" s="741">
        <v>10448176.23</v>
      </c>
      <c r="F17" s="758">
        <v>11292978.11</v>
      </c>
      <c r="G17" s="741">
        <v>9770981.43</v>
      </c>
      <c r="H17" s="758">
        <v>10576013.46</v>
      </c>
      <c r="I17" s="741">
        <v>14201720.1</v>
      </c>
      <c r="J17" s="741">
        <v>10834109.05</v>
      </c>
      <c r="K17" s="741">
        <v>13030596.9</v>
      </c>
      <c r="L17" s="741">
        <v>12681071.23</v>
      </c>
      <c r="M17" s="741">
        <v>10218445.25</v>
      </c>
      <c r="N17" s="758">
        <v>10759874.67</v>
      </c>
      <c r="O17" s="741">
        <v>12521884.33</v>
      </c>
      <c r="P17" s="753">
        <f t="shared" si="3"/>
        <v>136662917.03000003</v>
      </c>
      <c r="Q17" s="742">
        <v>137827629</v>
      </c>
      <c r="R17" s="1284"/>
      <c r="S17" s="1284"/>
      <c r="T17" s="914"/>
      <c r="U17" s="692"/>
    </row>
    <row r="18" spans="1:21" s="1286" customFormat="1" ht="15" customHeight="1">
      <c r="A18" s="736" t="s">
        <v>195</v>
      </c>
      <c r="B18" s="748">
        <v>1200062.19</v>
      </c>
      <c r="C18" s="748">
        <v>1489572.4</v>
      </c>
      <c r="D18" s="758">
        <v>6716594.05</v>
      </c>
      <c r="E18" s="741">
        <v>2284106.2</v>
      </c>
      <c r="F18" s="758">
        <v>2988380.75</v>
      </c>
      <c r="G18" s="741">
        <v>8145073.07</v>
      </c>
      <c r="H18" s="758">
        <v>1860487.97</v>
      </c>
      <c r="I18" s="741">
        <v>3795748.64</v>
      </c>
      <c r="J18" s="741">
        <v>3821122.72</v>
      </c>
      <c r="K18" s="741">
        <v>6918543.6</v>
      </c>
      <c r="L18" s="741">
        <v>2535730.02</v>
      </c>
      <c r="M18" s="741">
        <v>2978054.94</v>
      </c>
      <c r="N18" s="758">
        <v>2719823.03</v>
      </c>
      <c r="O18" s="741">
        <v>3456742.12</v>
      </c>
      <c r="P18" s="753">
        <f t="shared" si="3"/>
        <v>48220407.11</v>
      </c>
      <c r="Q18" s="742">
        <v>39189925</v>
      </c>
      <c r="R18" s="568"/>
      <c r="S18" s="1291"/>
      <c r="T18" s="914"/>
      <c r="U18" s="692"/>
    </row>
    <row r="19" spans="1:21" s="1286" customFormat="1" ht="15" customHeight="1">
      <c r="A19" s="1292" t="s">
        <v>31</v>
      </c>
      <c r="B19" s="748">
        <v>6667.71</v>
      </c>
      <c r="C19" s="748">
        <v>8520.57</v>
      </c>
      <c r="D19" s="758">
        <v>69627.04</v>
      </c>
      <c r="E19" s="741">
        <v>6644.76</v>
      </c>
      <c r="F19" s="758">
        <v>6795.58</v>
      </c>
      <c r="G19" s="741">
        <v>89995.36</v>
      </c>
      <c r="H19" s="758">
        <v>9839.26</v>
      </c>
      <c r="I19" s="741">
        <v>12622.82</v>
      </c>
      <c r="J19" s="741">
        <v>18986.69</v>
      </c>
      <c r="K19" s="741">
        <v>18868.78</v>
      </c>
      <c r="L19" s="741">
        <v>24459.85</v>
      </c>
      <c r="M19" s="741">
        <v>20659.97</v>
      </c>
      <c r="N19" s="758">
        <v>49107.43</v>
      </c>
      <c r="O19" s="741">
        <v>33842.95</v>
      </c>
      <c r="P19" s="753">
        <f t="shared" si="3"/>
        <v>361450.49</v>
      </c>
      <c r="Q19" s="755">
        <v>150102</v>
      </c>
      <c r="R19" s="1284"/>
      <c r="S19" s="1284"/>
      <c r="T19" s="914"/>
      <c r="U19" s="692"/>
    </row>
    <row r="20" spans="1:30" s="1283" customFormat="1" ht="15" customHeight="1">
      <c r="A20" s="1292" t="s">
        <v>196</v>
      </c>
      <c r="B20" s="748">
        <f>SUM(B21:B28)</f>
        <v>85102073.65</v>
      </c>
      <c r="C20" s="748">
        <f>SUM(C21:C28)</f>
        <v>94872944.72</v>
      </c>
      <c r="D20" s="741">
        <f>SUM(D21:D28)</f>
        <v>144207768.16</v>
      </c>
      <c r="E20" s="741">
        <f>SUM(E21:E28)</f>
        <v>121567360.65</v>
      </c>
      <c r="F20" s="741">
        <f aca="true" t="shared" si="4" ref="F20:K20">SUM(F21:F28)</f>
        <v>116991273.21999998</v>
      </c>
      <c r="G20" s="741">
        <f t="shared" si="4"/>
        <v>120050889.4</v>
      </c>
      <c r="H20" s="741">
        <f t="shared" si="4"/>
        <v>114188210.56999998</v>
      </c>
      <c r="I20" s="741">
        <f t="shared" si="4"/>
        <v>115140733.81</v>
      </c>
      <c r="J20" s="741">
        <f>SUM(J21:J28)</f>
        <v>122909206.8</v>
      </c>
      <c r="K20" s="741">
        <f t="shared" si="4"/>
        <v>145874637.23000002</v>
      </c>
      <c r="L20" s="741">
        <f aca="true" t="shared" si="5" ref="L20:Q20">SUM(L21:L28)</f>
        <v>138738209.01</v>
      </c>
      <c r="M20" s="741">
        <f t="shared" si="5"/>
        <v>160647908.4</v>
      </c>
      <c r="N20" s="741">
        <f t="shared" si="5"/>
        <v>121363588.62000002</v>
      </c>
      <c r="O20" s="741">
        <f t="shared" si="5"/>
        <v>157360880.08</v>
      </c>
      <c r="P20" s="741">
        <f t="shared" si="5"/>
        <v>1579040665.9499998</v>
      </c>
      <c r="Q20" s="742">
        <f t="shared" si="5"/>
        <v>1806425695.13</v>
      </c>
      <c r="R20" s="741"/>
      <c r="S20" s="914"/>
      <c r="T20" s="914"/>
      <c r="U20" s="1285"/>
      <c r="V20" s="1286"/>
      <c r="W20" s="1286"/>
      <c r="X20" s="1286"/>
      <c r="Y20" s="1286"/>
      <c r="Z20" s="1286"/>
      <c r="AA20" s="1286"/>
      <c r="AB20" s="1286"/>
      <c r="AC20" s="1286"/>
      <c r="AD20" s="1286"/>
    </row>
    <row r="21" spans="1:21" s="1282" customFormat="1" ht="15" customHeight="1">
      <c r="A21" s="1275" t="s">
        <v>197</v>
      </c>
      <c r="B21" s="751">
        <v>23837662.26</v>
      </c>
      <c r="C21" s="751">
        <v>20568609.89</v>
      </c>
      <c r="D21" s="757">
        <v>40899398.33</v>
      </c>
      <c r="E21" s="752">
        <v>30671908.81</v>
      </c>
      <c r="F21" s="757">
        <v>26343288.89</v>
      </c>
      <c r="G21" s="752">
        <v>32002614.01</v>
      </c>
      <c r="H21" s="757">
        <v>28052966.98</v>
      </c>
      <c r="I21" s="752">
        <v>26512942.68</v>
      </c>
      <c r="J21" s="752">
        <v>35093270.1</v>
      </c>
      <c r="K21" s="752">
        <v>56444226.45</v>
      </c>
      <c r="L21" s="752">
        <v>42926518.42</v>
      </c>
      <c r="M21" s="752">
        <v>43819658.77</v>
      </c>
      <c r="N21" s="757">
        <v>31916185.06</v>
      </c>
      <c r="O21" s="752">
        <v>34446021.01</v>
      </c>
      <c r="P21" s="753">
        <f aca="true" t="shared" si="6" ref="P21:P29">SUM(D21:O21)</f>
        <v>429128999.51</v>
      </c>
      <c r="Q21" s="734">
        <v>559790291</v>
      </c>
      <c r="R21" s="1280"/>
      <c r="S21" s="1293"/>
      <c r="T21" s="916"/>
      <c r="U21" s="756"/>
    </row>
    <row r="22" spans="1:21" s="1282" customFormat="1" ht="15" customHeight="1">
      <c r="A22" s="1275" t="s">
        <v>198</v>
      </c>
      <c r="B22" s="751">
        <v>18440365.8</v>
      </c>
      <c r="C22" s="751">
        <v>19955818.11</v>
      </c>
      <c r="D22" s="757">
        <v>32388749.11</v>
      </c>
      <c r="E22" s="752">
        <v>33069825.94</v>
      </c>
      <c r="F22" s="757">
        <v>32025547.85</v>
      </c>
      <c r="G22" s="752">
        <v>34168635.11</v>
      </c>
      <c r="H22" s="757">
        <v>35239794.05</v>
      </c>
      <c r="I22" s="752">
        <v>37642990.51</v>
      </c>
      <c r="J22" s="752">
        <v>36545709.16</v>
      </c>
      <c r="K22" s="752">
        <v>37868319.49</v>
      </c>
      <c r="L22" s="752">
        <v>31274203.06</v>
      </c>
      <c r="M22" s="752">
        <v>33751260.1</v>
      </c>
      <c r="N22" s="757">
        <v>28993301.36</v>
      </c>
      <c r="O22" s="752">
        <v>30414156.27</v>
      </c>
      <c r="P22" s="753">
        <f t="shared" si="6"/>
        <v>403382492.01</v>
      </c>
      <c r="Q22" s="734">
        <v>452602097</v>
      </c>
      <c r="R22" s="1294"/>
      <c r="S22" s="1280"/>
      <c r="T22" s="1280"/>
      <c r="U22" s="1281"/>
    </row>
    <row r="23" spans="1:22" s="1282" customFormat="1" ht="15" customHeight="1">
      <c r="A23" s="1275" t="s">
        <v>199</v>
      </c>
      <c r="B23" s="751">
        <v>4478497.12</v>
      </c>
      <c r="C23" s="751">
        <v>4714661.46</v>
      </c>
      <c r="D23" s="757">
        <v>7564636.08</v>
      </c>
      <c r="E23" s="752">
        <v>6060789.55</v>
      </c>
      <c r="F23" s="757">
        <v>4264306.11</v>
      </c>
      <c r="G23" s="752">
        <v>4360606.1</v>
      </c>
      <c r="H23" s="757">
        <v>3319428.36</v>
      </c>
      <c r="I23" s="752">
        <v>1730499.36</v>
      </c>
      <c r="J23" s="752">
        <v>1892840.38</v>
      </c>
      <c r="K23" s="752">
        <v>1790811.26</v>
      </c>
      <c r="L23" s="752">
        <v>6069164.91</v>
      </c>
      <c r="M23" s="752">
        <v>19974049.87</v>
      </c>
      <c r="N23" s="757">
        <v>12646958.2</v>
      </c>
      <c r="O23" s="752">
        <v>9255563.55</v>
      </c>
      <c r="P23" s="753">
        <f t="shared" si="6"/>
        <v>78929653.73</v>
      </c>
      <c r="Q23" s="734">
        <v>88974010</v>
      </c>
      <c r="R23" s="1280"/>
      <c r="S23" s="1280"/>
      <c r="T23" s="1280"/>
      <c r="U23" s="1281"/>
      <c r="V23" s="1290"/>
    </row>
    <row r="24" spans="1:21" s="1282" customFormat="1" ht="15" customHeight="1">
      <c r="A24" s="1275" t="s">
        <v>200</v>
      </c>
      <c r="B24" s="751">
        <v>150.79</v>
      </c>
      <c r="C24" s="751">
        <v>251.89</v>
      </c>
      <c r="D24" s="757">
        <v>377.84</v>
      </c>
      <c r="E24" s="752">
        <v>14.92</v>
      </c>
      <c r="F24" s="757">
        <v>36.42</v>
      </c>
      <c r="G24" s="752">
        <v>60.44</v>
      </c>
      <c r="H24" s="757">
        <v>1844.83</v>
      </c>
      <c r="I24" s="752">
        <v>2900.53</v>
      </c>
      <c r="J24" s="752">
        <v>1500.72</v>
      </c>
      <c r="K24" s="752">
        <v>298.7</v>
      </c>
      <c r="L24" s="752">
        <v>3796.76</v>
      </c>
      <c r="M24" s="752">
        <v>26.1</v>
      </c>
      <c r="N24" s="757">
        <v>166.43</v>
      </c>
      <c r="O24" s="752">
        <v>182.17</v>
      </c>
      <c r="P24" s="753">
        <f t="shared" si="6"/>
        <v>11205.86</v>
      </c>
      <c r="Q24" s="734">
        <v>24850</v>
      </c>
      <c r="R24" s="1280"/>
      <c r="S24" s="1280"/>
      <c r="T24" s="1280"/>
      <c r="U24" s="1281"/>
    </row>
    <row r="25" spans="1:21" s="1282" customFormat="1" ht="15" customHeight="1">
      <c r="A25" s="1275" t="s">
        <v>201</v>
      </c>
      <c r="B25" s="751">
        <v>290965.38</v>
      </c>
      <c r="C25" s="751">
        <f>B25</f>
        <v>290965.38</v>
      </c>
      <c r="D25" s="757">
        <v>248369.51</v>
      </c>
      <c r="E25" s="752">
        <v>248369.51</v>
      </c>
      <c r="F25" s="757">
        <v>248369.51</v>
      </c>
      <c r="G25" s="752">
        <v>248369.51</v>
      </c>
      <c r="H25" s="757">
        <v>248369.51</v>
      </c>
      <c r="I25" s="752">
        <v>248369.51</v>
      </c>
      <c r="J25" s="752">
        <v>248369.51</v>
      </c>
      <c r="K25" s="752">
        <v>496739.02</v>
      </c>
      <c r="L25" s="752">
        <v>0</v>
      </c>
      <c r="M25" s="752">
        <v>0</v>
      </c>
      <c r="N25" s="757">
        <v>0</v>
      </c>
      <c r="O25" s="752">
        <v>904314.3</v>
      </c>
      <c r="P25" s="753">
        <f t="shared" si="6"/>
        <v>3139639.8899999997</v>
      </c>
      <c r="Q25" s="734">
        <v>3469208</v>
      </c>
      <c r="R25" s="1280"/>
      <c r="S25" s="1293"/>
      <c r="T25" s="1280"/>
      <c r="U25" s="1281"/>
    </row>
    <row r="26" spans="1:21" s="1282" customFormat="1" ht="15" customHeight="1">
      <c r="A26" s="1275" t="s">
        <v>202</v>
      </c>
      <c r="B26" s="751"/>
      <c r="C26" s="751"/>
      <c r="D26" s="757">
        <v>327423.42</v>
      </c>
      <c r="E26" s="752">
        <v>311853.69</v>
      </c>
      <c r="F26" s="757">
        <v>320370.65</v>
      </c>
      <c r="G26" s="752">
        <v>330231.48</v>
      </c>
      <c r="H26" s="757">
        <v>310764.92</v>
      </c>
      <c r="I26" s="752">
        <v>332803.09</v>
      </c>
      <c r="J26" s="964">
        <v>382157.22</v>
      </c>
      <c r="K26" s="752">
        <v>377078.06</v>
      </c>
      <c r="L26" s="752">
        <v>0</v>
      </c>
      <c r="M26" s="752">
        <v>0</v>
      </c>
      <c r="N26" s="757">
        <v>0</v>
      </c>
      <c r="O26" s="752"/>
      <c r="P26" s="753">
        <f t="shared" si="6"/>
        <v>2692682.53</v>
      </c>
      <c r="Q26" s="734">
        <v>3654191</v>
      </c>
      <c r="R26" s="1280"/>
      <c r="S26" s="1280"/>
      <c r="T26" s="1280"/>
      <c r="U26" s="1281"/>
    </row>
    <row r="27" spans="1:21" s="1282" customFormat="1" ht="15" customHeight="1">
      <c r="A27" s="1275" t="s">
        <v>203</v>
      </c>
      <c r="B27" s="751">
        <v>16163396.33</v>
      </c>
      <c r="C27" s="751">
        <v>23889755.74</v>
      </c>
      <c r="D27" s="757">
        <v>37639537.87</v>
      </c>
      <c r="E27" s="757">
        <v>19324518.87</v>
      </c>
      <c r="F27" s="757">
        <v>18139829.58</v>
      </c>
      <c r="G27" s="757">
        <v>19623461.35</v>
      </c>
      <c r="H27" s="757">
        <v>18860635.8</v>
      </c>
      <c r="I27" s="756">
        <v>18748394.04</v>
      </c>
      <c r="J27" s="964">
        <v>20503658.57</v>
      </c>
      <c r="K27" s="965">
        <v>21511526.57</v>
      </c>
      <c r="L27" s="734">
        <v>22057701.28</v>
      </c>
      <c r="M27" s="756">
        <v>42046718.71</v>
      </c>
      <c r="N27" s="757">
        <v>21097915.68</v>
      </c>
      <c r="O27" s="756">
        <v>54731326.66</v>
      </c>
      <c r="P27" s="753">
        <f t="shared" si="6"/>
        <v>314285224.98</v>
      </c>
      <c r="Q27" s="734">
        <v>143605365</v>
      </c>
      <c r="R27" s="1280"/>
      <c r="S27" s="1280"/>
      <c r="T27" s="1280"/>
      <c r="U27" s="1281"/>
    </row>
    <row r="28" spans="1:21" s="1282" customFormat="1" ht="15" customHeight="1">
      <c r="A28" s="1275" t="s">
        <v>204</v>
      </c>
      <c r="B28" s="751">
        <v>21891035.97</v>
      </c>
      <c r="C28" s="751">
        <v>25452882.25</v>
      </c>
      <c r="D28" s="963">
        <v>25139276</v>
      </c>
      <c r="E28" s="1276">
        <f>121567360.65-89687281.29</f>
        <v>31880079.36</v>
      </c>
      <c r="F28" s="963">
        <f>116991273.22-81341749.01</f>
        <v>35649524.20999999</v>
      </c>
      <c r="G28" s="1276">
        <f>120050889.4-90733978</f>
        <v>29316911.400000006</v>
      </c>
      <c r="H28" s="963">
        <f>114188210.57-86033804.45</f>
        <v>28154406.11999999</v>
      </c>
      <c r="I28" s="373">
        <f>115140733.81-85218899.72</f>
        <v>29921834.090000004</v>
      </c>
      <c r="J28" s="1277">
        <f>122909206.8-94667505.66</f>
        <v>28241701.14</v>
      </c>
      <c r="K28" s="1278">
        <f>145874637.23-118488999.55</f>
        <v>27385637.679999992</v>
      </c>
      <c r="L28" s="1279">
        <f>138738209.01-102331384.43</f>
        <v>36406824.57999998</v>
      </c>
      <c r="M28" s="468">
        <f>160647908.4-139591713.55</f>
        <v>21056194.849999994</v>
      </c>
      <c r="N28" s="1378">
        <f>121363588.62-94654526.73</f>
        <v>26709061.89</v>
      </c>
      <c r="O28" s="468">
        <f>157360880.08-129751563.96</f>
        <v>27609316.12000002</v>
      </c>
      <c r="P28" s="753">
        <f t="shared" si="6"/>
        <v>347470767.43999994</v>
      </c>
      <c r="Q28" s="734">
        <f>1806425695.13-1252120012</f>
        <v>554305683.1300001</v>
      </c>
      <c r="R28" s="1280"/>
      <c r="S28" s="1280"/>
      <c r="T28" s="1280"/>
      <c r="U28" s="1281"/>
    </row>
    <row r="29" spans="1:21" s="1286" customFormat="1" ht="15" customHeight="1">
      <c r="A29" s="1292" t="s">
        <v>205</v>
      </c>
      <c r="B29" s="748">
        <v>1871151.09</v>
      </c>
      <c r="C29" s="748">
        <v>1782072.97</v>
      </c>
      <c r="D29" s="758">
        <v>5057680.75</v>
      </c>
      <c r="E29" s="758">
        <v>6316014.85</v>
      </c>
      <c r="F29" s="758">
        <v>4789193.61</v>
      </c>
      <c r="G29" s="758">
        <v>5481063.12</v>
      </c>
      <c r="H29" s="758">
        <v>5286021.07</v>
      </c>
      <c r="I29" s="692">
        <v>4071762.1</v>
      </c>
      <c r="J29" s="966">
        <v>4676299.27</v>
      </c>
      <c r="K29" s="967">
        <v>7549005.55</v>
      </c>
      <c r="L29" s="742">
        <f>6264249.12+810580.96</f>
        <v>7074830.08</v>
      </c>
      <c r="M29" s="692">
        <f>11981726.38-7074830.08</f>
        <v>4906896.300000001</v>
      </c>
      <c r="N29" s="758">
        <v>7396618.6</v>
      </c>
      <c r="O29" s="692">
        <v>3666281.61</v>
      </c>
      <c r="P29" s="753">
        <f t="shared" si="6"/>
        <v>66271666.910000004</v>
      </c>
      <c r="Q29" s="742">
        <v>63457679</v>
      </c>
      <c r="R29" s="915"/>
      <c r="S29" s="1284"/>
      <c r="T29" s="1284"/>
      <c r="U29" s="1285"/>
    </row>
    <row r="30" spans="1:180" s="1283" customFormat="1" ht="15" customHeight="1">
      <c r="A30" s="736" t="s">
        <v>206</v>
      </c>
      <c r="B30" s="759">
        <f>B31+B33+B32</f>
        <v>12149540.29</v>
      </c>
      <c r="C30" s="759">
        <f>C31+C33+C32</f>
        <v>11808330.88</v>
      </c>
      <c r="D30" s="741">
        <f>D31+D32+D33+D34</f>
        <v>21540873.060000002</v>
      </c>
      <c r="E30" s="760">
        <f aca="true" t="shared" si="7" ref="E30:L30">E31+E32+E33+E34</f>
        <v>19057553.200000003</v>
      </c>
      <c r="F30" s="741">
        <f t="shared" si="7"/>
        <v>18200542.72</v>
      </c>
      <c r="G30" s="760">
        <f t="shared" si="7"/>
        <v>18427909.46</v>
      </c>
      <c r="H30" s="760">
        <f t="shared" si="7"/>
        <v>18432938.4</v>
      </c>
      <c r="I30" s="760">
        <f t="shared" si="7"/>
        <v>21605437.55</v>
      </c>
      <c r="J30" s="1070">
        <f t="shared" si="7"/>
        <v>19621924.8</v>
      </c>
      <c r="K30" s="760">
        <f t="shared" si="7"/>
        <v>22949200.45</v>
      </c>
      <c r="L30" s="760">
        <f t="shared" si="7"/>
        <v>22409482.91</v>
      </c>
      <c r="M30" s="760">
        <f>M31+M32+M33+M34</f>
        <v>24497487.54</v>
      </c>
      <c r="N30" s="760">
        <f>N31+N32+N33+N34</f>
        <v>19858233.97</v>
      </c>
      <c r="O30" s="760">
        <f>O31+O32+O33+O34</f>
        <v>21283976.2</v>
      </c>
      <c r="P30" s="760">
        <f>P31+P32+P33+P34</f>
        <v>247885560.26000002</v>
      </c>
      <c r="Q30" s="760">
        <f>Q31+Q32+Q33+Q34</f>
        <v>291373026</v>
      </c>
      <c r="R30" s="741"/>
      <c r="S30" s="916"/>
      <c r="T30" s="1280"/>
      <c r="U30" s="1281"/>
      <c r="V30" s="1295"/>
      <c r="W30" s="1295"/>
      <c r="X30" s="1295"/>
      <c r="Y30" s="1295"/>
      <c r="Z30" s="1295"/>
      <c r="AA30" s="1295"/>
      <c r="AB30" s="1295"/>
      <c r="AC30" s="1295"/>
      <c r="AD30" s="1295"/>
      <c r="AE30" s="1295"/>
      <c r="AF30" s="1295"/>
      <c r="AG30" s="1295"/>
      <c r="AH30" s="1295"/>
      <c r="AI30" s="1295"/>
      <c r="AJ30" s="1295"/>
      <c r="AK30" s="1295"/>
      <c r="AL30" s="1295"/>
      <c r="AM30" s="1295"/>
      <c r="AN30" s="1295"/>
      <c r="AO30" s="1295"/>
      <c r="AP30" s="1295"/>
      <c r="AQ30" s="1295"/>
      <c r="AR30" s="1295"/>
      <c r="AS30" s="1295"/>
      <c r="AT30" s="1295"/>
      <c r="AU30" s="1295"/>
      <c r="AV30" s="1295"/>
      <c r="AW30" s="1295"/>
      <c r="AX30" s="1295"/>
      <c r="AY30" s="1295"/>
      <c r="AZ30" s="1295"/>
      <c r="BA30" s="1295"/>
      <c r="BB30" s="1295"/>
      <c r="BC30" s="1295"/>
      <c r="BD30" s="1295"/>
      <c r="BE30" s="1295"/>
      <c r="BF30" s="1295"/>
      <c r="BG30" s="1295"/>
      <c r="BH30" s="1295"/>
      <c r="BI30" s="1295"/>
      <c r="BJ30" s="1295"/>
      <c r="BK30" s="1295"/>
      <c r="BL30" s="1295"/>
      <c r="BM30" s="1295"/>
      <c r="BN30" s="1295"/>
      <c r="BO30" s="1295"/>
      <c r="BP30" s="1295"/>
      <c r="BQ30" s="1295"/>
      <c r="BR30" s="1295"/>
      <c r="BS30" s="1295"/>
      <c r="BT30" s="1295"/>
      <c r="BU30" s="1295"/>
      <c r="BV30" s="1295"/>
      <c r="BW30" s="1295"/>
      <c r="BX30" s="1295"/>
      <c r="BY30" s="1295"/>
      <c r="BZ30" s="1295"/>
      <c r="CA30" s="1295"/>
      <c r="CB30" s="1295"/>
      <c r="CC30" s="1295"/>
      <c r="CD30" s="1295"/>
      <c r="CE30" s="1295"/>
      <c r="CF30" s="1295"/>
      <c r="CG30" s="1295"/>
      <c r="CH30" s="1295"/>
      <c r="CI30" s="1295"/>
      <c r="CJ30" s="1295"/>
      <c r="CK30" s="1295"/>
      <c r="CL30" s="1295"/>
      <c r="CM30" s="1295"/>
      <c r="CN30" s="1295"/>
      <c r="CO30" s="1295"/>
      <c r="CP30" s="1295"/>
      <c r="CQ30" s="1295"/>
      <c r="CR30" s="1295"/>
      <c r="CS30" s="1295"/>
      <c r="CT30" s="1295"/>
      <c r="CU30" s="1295"/>
      <c r="CV30" s="1295"/>
      <c r="CW30" s="1295"/>
      <c r="CX30" s="1295"/>
      <c r="CY30" s="1295"/>
      <c r="CZ30" s="1295"/>
      <c r="DA30" s="1295"/>
      <c r="DB30" s="1295"/>
      <c r="DC30" s="1295"/>
      <c r="DD30" s="1295"/>
      <c r="DE30" s="1295"/>
      <c r="DF30" s="1295"/>
      <c r="DG30" s="1295"/>
      <c r="DH30" s="1295"/>
      <c r="DI30" s="1295"/>
      <c r="DJ30" s="1295"/>
      <c r="DK30" s="1295"/>
      <c r="DL30" s="1295"/>
      <c r="DM30" s="1295"/>
      <c r="DN30" s="1295"/>
      <c r="DO30" s="1295"/>
      <c r="DP30" s="1295"/>
      <c r="DQ30" s="1295"/>
      <c r="DR30" s="1295"/>
      <c r="DS30" s="1295"/>
      <c r="DT30" s="1295"/>
      <c r="DU30" s="1295"/>
      <c r="DV30" s="1295"/>
      <c r="DW30" s="1295"/>
      <c r="DX30" s="1295"/>
      <c r="DY30" s="1295"/>
      <c r="DZ30" s="1295"/>
      <c r="EA30" s="1295"/>
      <c r="EB30" s="1295"/>
      <c r="EC30" s="1295"/>
      <c r="ED30" s="1295"/>
      <c r="EE30" s="1295"/>
      <c r="EF30" s="1295"/>
      <c r="EG30" s="1295"/>
      <c r="EH30" s="1295"/>
      <c r="EI30" s="1295"/>
      <c r="EJ30" s="1295"/>
      <c r="EK30" s="1295"/>
      <c r="EL30" s="1295"/>
      <c r="EM30" s="1295"/>
      <c r="EN30" s="1295"/>
      <c r="EO30" s="1295"/>
      <c r="EP30" s="1295"/>
      <c r="EQ30" s="1295"/>
      <c r="ER30" s="1295"/>
      <c r="ES30" s="1295"/>
      <c r="ET30" s="1295"/>
      <c r="EU30" s="1295"/>
      <c r="EV30" s="1295"/>
      <c r="EW30" s="1295"/>
      <c r="EX30" s="1295"/>
      <c r="EY30" s="1295"/>
      <c r="EZ30" s="1295"/>
      <c r="FA30" s="1295"/>
      <c r="FB30" s="1295"/>
      <c r="FC30" s="1295"/>
      <c r="FD30" s="1295"/>
      <c r="FE30" s="1295"/>
      <c r="FF30" s="1295"/>
      <c r="FG30" s="1295"/>
      <c r="FH30" s="1295"/>
      <c r="FI30" s="1295"/>
      <c r="FJ30" s="1295"/>
      <c r="FK30" s="1295"/>
      <c r="FL30" s="1295"/>
      <c r="FM30" s="1295"/>
      <c r="FN30" s="1295"/>
      <c r="FO30" s="1295"/>
      <c r="FP30" s="1295"/>
      <c r="FQ30" s="1295"/>
      <c r="FR30" s="1295"/>
      <c r="FS30" s="1295"/>
      <c r="FT30" s="1295"/>
      <c r="FU30" s="1295"/>
      <c r="FV30" s="1295"/>
      <c r="FW30" s="1295"/>
      <c r="FX30" s="1295"/>
    </row>
    <row r="31" spans="1:21" s="1282" customFormat="1" ht="15" customHeight="1">
      <c r="A31" s="1287" t="s">
        <v>207</v>
      </c>
      <c r="B31" s="761">
        <v>2683864.55</v>
      </c>
      <c r="C31" s="761">
        <v>2631769.92</v>
      </c>
      <c r="D31" s="968">
        <v>5255048.75</v>
      </c>
      <c r="E31" s="753">
        <v>4985000.82</v>
      </c>
      <c r="F31" s="968">
        <v>5553876.27</v>
      </c>
      <c r="G31" s="753">
        <v>3942097.95</v>
      </c>
      <c r="H31" s="968">
        <v>4997304.74</v>
      </c>
      <c r="I31" s="753">
        <v>8306188.71</v>
      </c>
      <c r="J31" s="968">
        <v>4786759.91</v>
      </c>
      <c r="K31" s="753">
        <v>7122430.09</v>
      </c>
      <c r="L31" s="753">
        <v>6353380.77</v>
      </c>
      <c r="M31" s="753">
        <v>4988488.63</v>
      </c>
      <c r="N31" s="968">
        <v>5044296.72</v>
      </c>
      <c r="O31" s="753">
        <v>6263493.42</v>
      </c>
      <c r="P31" s="753">
        <f>SUM(D31:O31)</f>
        <v>67598366.78</v>
      </c>
      <c r="Q31" s="734">
        <v>69489317</v>
      </c>
      <c r="R31" s="1280"/>
      <c r="S31" s="1280"/>
      <c r="T31" s="1280"/>
      <c r="U31" s="1281"/>
    </row>
    <row r="32" spans="1:21" s="1282" customFormat="1" ht="15" customHeight="1">
      <c r="A32" s="1287" t="s">
        <v>208</v>
      </c>
      <c r="B32" s="751">
        <v>14996.57</v>
      </c>
      <c r="C32" s="751">
        <v>14996.57</v>
      </c>
      <c r="D32" s="968"/>
      <c r="E32" s="753"/>
      <c r="F32" s="968"/>
      <c r="G32" s="753"/>
      <c r="H32" s="968"/>
      <c r="I32" s="753"/>
      <c r="J32" s="968"/>
      <c r="K32" s="753"/>
      <c r="L32" s="753"/>
      <c r="M32" s="753"/>
      <c r="N32" s="968">
        <v>0</v>
      </c>
      <c r="O32" s="753">
        <v>0</v>
      </c>
      <c r="P32" s="753">
        <f>SUM(D32:O32)</f>
        <v>0</v>
      </c>
      <c r="Q32" s="734">
        <v>0</v>
      </c>
      <c r="R32" s="1280"/>
      <c r="S32" s="1280"/>
      <c r="T32" s="1280"/>
      <c r="U32" s="1281"/>
    </row>
    <row r="33" spans="1:21" s="1282" customFormat="1" ht="15" customHeight="1">
      <c r="A33" s="1287" t="s">
        <v>209</v>
      </c>
      <c r="B33" s="751">
        <v>9450679.17</v>
      </c>
      <c r="C33" s="751">
        <v>9161564.39</v>
      </c>
      <c r="D33" s="968">
        <v>16285824.31</v>
      </c>
      <c r="E33" s="753">
        <v>14072552.38</v>
      </c>
      <c r="F33" s="968">
        <v>12646666.45</v>
      </c>
      <c r="G33" s="753">
        <v>14485811.51</v>
      </c>
      <c r="H33" s="968">
        <v>13435633.66</v>
      </c>
      <c r="I33" s="753">
        <v>13299248.84</v>
      </c>
      <c r="J33" s="968">
        <v>14835164.89</v>
      </c>
      <c r="K33" s="753">
        <v>15826770.36</v>
      </c>
      <c r="L33" s="753">
        <v>16056102.14</v>
      </c>
      <c r="M33" s="753">
        <v>19508998.91</v>
      </c>
      <c r="N33" s="968">
        <v>14813937.25</v>
      </c>
      <c r="O33" s="753">
        <v>15020482.78</v>
      </c>
      <c r="P33" s="753">
        <f>SUM(D33:O33)</f>
        <v>180287193.48000002</v>
      </c>
      <c r="Q33" s="757">
        <v>221883709</v>
      </c>
      <c r="R33" s="1280"/>
      <c r="S33" s="1280"/>
      <c r="T33" s="1280"/>
      <c r="U33" s="1281"/>
    </row>
    <row r="34" spans="1:21" s="1282" customFormat="1" ht="15" customHeight="1">
      <c r="A34" s="1287" t="s">
        <v>800</v>
      </c>
      <c r="B34" s="751"/>
      <c r="C34" s="751"/>
      <c r="D34" s="968"/>
      <c r="E34" s="1016"/>
      <c r="F34" s="968"/>
      <c r="G34" s="753"/>
      <c r="H34" s="968"/>
      <c r="I34" s="753"/>
      <c r="J34" s="969"/>
      <c r="K34" s="753"/>
      <c r="L34" s="753">
        <v>0</v>
      </c>
      <c r="M34" s="753">
        <v>0</v>
      </c>
      <c r="N34" s="968"/>
      <c r="O34" s="753"/>
      <c r="P34" s="753">
        <f>SUM(D34:O34)</f>
        <v>0</v>
      </c>
      <c r="Q34" s="762">
        <v>0</v>
      </c>
      <c r="R34" s="1280"/>
      <c r="S34" s="1280"/>
      <c r="T34" s="1280"/>
      <c r="U34" s="1281"/>
    </row>
    <row r="35" spans="1:21" s="121" customFormat="1" ht="15" customHeight="1">
      <c r="A35" s="737" t="s">
        <v>210</v>
      </c>
      <c r="B35" s="685">
        <f aca="true" t="shared" si="8" ref="B35:H35">B10-B30</f>
        <v>115724153.72</v>
      </c>
      <c r="C35" s="685">
        <f t="shared" si="8"/>
        <v>118192070.28999999</v>
      </c>
      <c r="D35" s="1024">
        <f t="shared" si="8"/>
        <v>189642039.45999998</v>
      </c>
      <c r="E35" s="685">
        <f t="shared" si="8"/>
        <v>177174603.67000002</v>
      </c>
      <c r="F35" s="1035">
        <f t="shared" si="8"/>
        <v>160814461.2</v>
      </c>
      <c r="G35" s="685">
        <f t="shared" si="8"/>
        <v>175629757.04999998</v>
      </c>
      <c r="H35" s="685">
        <f t="shared" si="8"/>
        <v>160258344.21999997</v>
      </c>
      <c r="I35" s="685">
        <f aca="true" t="shared" si="9" ref="I35:P35">I10-I30</f>
        <v>162077779.18999997</v>
      </c>
      <c r="J35" s="685">
        <f t="shared" si="9"/>
        <v>168715927.85999998</v>
      </c>
      <c r="K35" s="685">
        <f t="shared" si="9"/>
        <v>202392641.37000006</v>
      </c>
      <c r="L35" s="685">
        <f t="shared" si="9"/>
        <v>184900640.97000003</v>
      </c>
      <c r="M35" s="685">
        <f t="shared" si="9"/>
        <v>192953657.25000003</v>
      </c>
      <c r="N35" s="685">
        <f t="shared" si="9"/>
        <v>167457670.68</v>
      </c>
      <c r="O35" s="685">
        <f t="shared" si="9"/>
        <v>199611748.68000004</v>
      </c>
      <c r="P35" s="763">
        <f t="shared" si="9"/>
        <v>2141629271.5999997</v>
      </c>
      <c r="Q35" s="913">
        <f>Q10-Q30</f>
        <v>2408184869.13</v>
      </c>
      <c r="R35" s="917"/>
      <c r="S35" s="177"/>
      <c r="T35" s="177"/>
      <c r="U35" s="380"/>
    </row>
    <row r="36" spans="1:21" ht="12.75" customHeight="1">
      <c r="A36" s="181" t="str">
        <f>'[15]Anexo I_BAL ORC'!A96</f>
        <v>FONTE: SECRETARIA MUNICIPAL DA FAZENDA</v>
      </c>
      <c r="B36" s="764"/>
      <c r="C36" s="459"/>
      <c r="D36" s="815"/>
      <c r="E36" s="538"/>
      <c r="G36" s="538"/>
      <c r="I36" s="538"/>
      <c r="K36" s="538"/>
      <c r="L36" s="538"/>
      <c r="M36" s="538"/>
      <c r="N36" s="538"/>
      <c r="O36" s="538"/>
      <c r="Q36" s="177"/>
      <c r="R36" s="687"/>
      <c r="S36" s="177"/>
      <c r="T36" s="687"/>
      <c r="U36" s="121"/>
    </row>
    <row r="37" spans="1:20" s="121" customFormat="1" ht="18" customHeight="1">
      <c r="A37" s="113"/>
      <c r="B37" s="113"/>
      <c r="C37" s="113"/>
      <c r="D37"/>
      <c r="E37" s="538"/>
      <c r="F37"/>
      <c r="G37" s="538"/>
      <c r="H37"/>
      <c r="I37" s="538"/>
      <c r="J37"/>
      <c r="K37" s="538"/>
      <c r="L37" s="538"/>
      <c r="M37" s="538"/>
      <c r="N37" s="538"/>
      <c r="O37" s="538"/>
      <c r="P37" s="534"/>
      <c r="Q37" s="177"/>
      <c r="R37" s="177"/>
      <c r="S37" s="177"/>
      <c r="T37" s="177"/>
    </row>
    <row r="38" spans="1:20" s="121" customFormat="1" ht="15" customHeight="1">
      <c r="A38" s="157" t="str">
        <f>'Anexo 1 _ BAL ORC'!A100</f>
        <v>  São Luís, 22 de Maio de 2015</v>
      </c>
      <c r="B38" s="163"/>
      <c r="C38" s="163"/>
      <c r="D38"/>
      <c r="F38"/>
      <c r="H38"/>
      <c r="J38"/>
      <c r="K38" s="538"/>
      <c r="L38" s="538"/>
      <c r="M38" s="538"/>
      <c r="N38" s="538"/>
      <c r="O38" s="538"/>
      <c r="P38" s="534"/>
      <c r="Q38" s="177"/>
      <c r="R38" s="380"/>
      <c r="S38" s="380"/>
      <c r="T38" s="380"/>
    </row>
    <row r="39" spans="1:17" s="121" customFormat="1" ht="15" customHeight="1">
      <c r="A39" s="182"/>
      <c r="B39" s="183"/>
      <c r="D39"/>
      <c r="F39"/>
      <c r="H39"/>
      <c r="J39"/>
      <c r="P39" s="534"/>
      <c r="Q39" s="177"/>
    </row>
    <row r="40" spans="1:19" s="121" customFormat="1" ht="15" customHeight="1">
      <c r="A40" s="182"/>
      <c r="B40" s="183"/>
      <c r="D40"/>
      <c r="F40"/>
      <c r="H40"/>
      <c r="J40"/>
      <c r="P40" s="534"/>
      <c r="R40" s="538"/>
      <c r="S40" s="538"/>
    </row>
    <row r="41" ht="15" customHeight="1">
      <c r="P41" s="627"/>
    </row>
    <row r="49" spans="5:15" ht="15" customHeight="1">
      <c r="E49" s="687"/>
      <c r="G49" s="687"/>
      <c r="I49" s="687"/>
      <c r="K49" s="687"/>
      <c r="L49" s="687"/>
      <c r="M49" s="687"/>
      <c r="N49" s="687"/>
      <c r="O49" s="687"/>
    </row>
    <row r="50" spans="5:15" ht="15" customHeight="1">
      <c r="E50" s="177"/>
      <c r="G50" s="177"/>
      <c r="I50" s="177"/>
      <c r="K50" s="177"/>
      <c r="L50" s="177"/>
      <c r="M50" s="177"/>
      <c r="N50" s="177"/>
      <c r="O50" s="177"/>
    </row>
    <row r="51" spans="5:15" ht="15" customHeight="1">
      <c r="E51" s="177"/>
      <c r="G51" s="177"/>
      <c r="I51" s="177"/>
      <c r="K51" s="177"/>
      <c r="L51" s="177"/>
      <c r="M51" s="177"/>
      <c r="N51" s="177"/>
      <c r="O51" s="177"/>
    </row>
    <row r="52" spans="5:15" ht="15" customHeight="1">
      <c r="E52" s="177"/>
      <c r="G52" s="177"/>
      <c r="I52" s="177"/>
      <c r="K52" s="177"/>
      <c r="L52" s="177"/>
      <c r="M52" s="177"/>
      <c r="N52" s="177"/>
      <c r="O52" s="177"/>
    </row>
    <row r="53" spans="5:15" ht="15" customHeight="1">
      <c r="E53" s="177"/>
      <c r="G53" s="177"/>
      <c r="I53" s="177"/>
      <c r="K53" s="177"/>
      <c r="L53" s="177"/>
      <c r="M53" s="177"/>
      <c r="N53" s="177"/>
      <c r="O53" s="177"/>
    </row>
    <row r="77" spans="1:3" ht="15" customHeight="1">
      <c r="A77" s="182"/>
      <c r="B77" s="183"/>
      <c r="C77" s="121"/>
    </row>
    <row r="78" spans="1:3" ht="15" customHeight="1">
      <c r="A78" s="182"/>
      <c r="B78" s="183"/>
      <c r="C78" s="121"/>
    </row>
    <row r="79" spans="1:3" ht="15" customHeight="1">
      <c r="A79" s="182"/>
      <c r="B79" s="183"/>
      <c r="C79" s="121"/>
    </row>
    <row r="80" spans="1:3" ht="15" customHeight="1">
      <c r="A80" s="182"/>
      <c r="B80" s="183"/>
      <c r="C80" s="121"/>
    </row>
    <row r="81" spans="1:3" ht="15" customHeight="1">
      <c r="A81" s="182"/>
      <c r="B81" s="183"/>
      <c r="C81" s="121"/>
    </row>
  </sheetData>
  <sheetProtection/>
  <mergeCells count="20">
    <mergeCell ref="J8:J9"/>
    <mergeCell ref="F8:F9"/>
    <mergeCell ref="E8:E9"/>
    <mergeCell ref="H8:H9"/>
    <mergeCell ref="P8:P9"/>
    <mergeCell ref="Q8:Q9"/>
    <mergeCell ref="O8:O9"/>
    <mergeCell ref="N8:N9"/>
    <mergeCell ref="L8:L9"/>
    <mergeCell ref="M8:M9"/>
    <mergeCell ref="B8:C8"/>
    <mergeCell ref="D8:D9"/>
    <mergeCell ref="I8:I9"/>
    <mergeCell ref="K8:K9"/>
    <mergeCell ref="A1:Q1"/>
    <mergeCell ref="A2:Q2"/>
    <mergeCell ref="A3:Q3"/>
    <mergeCell ref="A4:Q4"/>
    <mergeCell ref="A8:A9"/>
    <mergeCell ref="G8:G9"/>
  </mergeCells>
  <printOptions horizontalCentered="1"/>
  <pageMargins left="0.2362204724409449" right="0.15748031496062992" top="0.5118110236220472" bottom="0.3937007874015748" header="0.5118110236220472" footer="0.1968503937007874"/>
  <pageSetup fitToHeight="1" fitToWidth="1" horizontalDpi="600" verticalDpi="600" orientation="landscape" paperSize="9" scale="61" r:id="rId2"/>
  <headerFooter alignWithMargins="0">
    <oddFooter>&amp;C&amp;A</oddFooter>
  </headerFooter>
  <ignoredErrors>
    <ignoredError sqref="D20 P12:P15 P17:P19 P21:P24 P27 P31:P33" formulaRange="1"/>
    <ignoredError sqref="P20 P3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178"/>
  <sheetViews>
    <sheetView showGridLines="0" zoomScaleSheetLayoutView="100" zoomScalePageLayoutView="0" workbookViewId="0" topLeftCell="A1">
      <selection activeCell="L80" sqref="L80"/>
    </sheetView>
  </sheetViews>
  <sheetFormatPr defaultColWidth="4.140625" defaultRowHeight="12.75"/>
  <cols>
    <col min="1" max="1" width="45.140625" style="123" customWidth="1"/>
    <col min="2" max="2" width="16.140625" style="183" customWidth="1"/>
    <col min="3" max="3" width="14.421875" style="183" customWidth="1"/>
    <col min="4" max="4" width="8.140625" style="183" customWidth="1"/>
    <col min="5" max="5" width="5.00390625" style="183" customWidth="1"/>
    <col min="6" max="6" width="13.421875" style="183" customWidth="1"/>
    <col min="7" max="7" width="12.7109375" style="183" customWidth="1"/>
    <col min="8" max="8" width="12.421875" style="183" customWidth="1"/>
    <col min="9" max="9" width="14.28125" style="183" customWidth="1"/>
    <col min="10" max="10" width="13.28125" style="183" customWidth="1"/>
    <col min="11" max="11" width="4.140625" style="122" customWidth="1"/>
    <col min="12" max="12" width="16.28125" style="122" customWidth="1"/>
    <col min="13" max="16384" width="4.140625" style="122" customWidth="1"/>
  </cols>
  <sheetData>
    <row r="1" spans="1:10" ht="12" customHeight="1">
      <c r="A1" s="1582" t="s">
        <v>182</v>
      </c>
      <c r="B1" s="1582"/>
      <c r="C1" s="1582"/>
      <c r="D1" s="1582"/>
      <c r="E1" s="1582"/>
      <c r="F1" s="1582"/>
      <c r="G1" s="1582"/>
      <c r="H1" s="1582"/>
      <c r="I1" s="1582"/>
      <c r="J1" s="1582"/>
    </row>
    <row r="2" spans="1:10" ht="12" customHeight="1">
      <c r="A2" s="1582" t="s">
        <v>0</v>
      </c>
      <c r="B2" s="1582"/>
      <c r="C2" s="1582"/>
      <c r="D2" s="1582"/>
      <c r="E2" s="1582"/>
      <c r="F2" s="1582"/>
      <c r="G2" s="1582"/>
      <c r="H2" s="1582"/>
      <c r="I2" s="1582"/>
      <c r="J2" s="1582"/>
    </row>
    <row r="3" spans="1:10" ht="12" customHeight="1">
      <c r="A3" s="1583" t="s">
        <v>211</v>
      </c>
      <c r="B3" s="1583"/>
      <c r="C3" s="1583"/>
      <c r="D3" s="1583"/>
      <c r="E3" s="1583"/>
      <c r="F3" s="1583"/>
      <c r="G3" s="1583"/>
      <c r="H3" s="1583"/>
      <c r="I3" s="1583"/>
      <c r="J3" s="1583"/>
    </row>
    <row r="4" spans="1:10" ht="12" customHeight="1">
      <c r="A4" s="1582" t="s">
        <v>212</v>
      </c>
      <c r="B4" s="1582"/>
      <c r="C4" s="1582"/>
      <c r="D4" s="1582"/>
      <c r="E4" s="1582"/>
      <c r="F4" s="1582"/>
      <c r="G4" s="1582"/>
      <c r="H4" s="1582"/>
      <c r="I4" s="1582"/>
      <c r="J4" s="1582"/>
    </row>
    <row r="5" spans="1:11" s="1" customFormat="1" ht="15.75" customHeight="1">
      <c r="A5" s="1577" t="str">
        <f>'Anexo 3 _ RCL'!A5</f>
        <v>Referência: JANEIRO-ABRIL/2015; BIMESTRE: MARÇO-ABRIL/2015</v>
      </c>
      <c r="B5" s="1577"/>
      <c r="C5" s="1577"/>
      <c r="D5" s="1577"/>
      <c r="E5" s="601"/>
      <c r="F5" s="601"/>
      <c r="G5" s="740" t="s">
        <v>950</v>
      </c>
      <c r="H5" s="740"/>
      <c r="I5" s="611"/>
      <c r="J5" s="601"/>
      <c r="K5" s="601"/>
    </row>
    <row r="6" spans="1:9" ht="12.75" customHeight="1">
      <c r="A6" s="185"/>
      <c r="B6" s="186"/>
      <c r="C6" s="186"/>
      <c r="D6" s="186"/>
      <c r="E6" s="186"/>
      <c r="F6" s="186"/>
      <c r="G6" s="739" t="s">
        <v>951</v>
      </c>
      <c r="H6" s="739"/>
      <c r="I6" s="186"/>
    </row>
    <row r="7" spans="1:10" ht="12.75" customHeight="1">
      <c r="A7" s="123" t="s">
        <v>651</v>
      </c>
      <c r="C7" s="1017"/>
      <c r="D7" s="187"/>
      <c r="E7" s="1599"/>
      <c r="F7" s="1599"/>
      <c r="G7" s="1600"/>
      <c r="H7" s="1137"/>
      <c r="I7" s="1601" t="s">
        <v>539</v>
      </c>
      <c r="J7" s="1601"/>
    </row>
    <row r="8" spans="1:10" ht="21.75" customHeight="1">
      <c r="A8" s="1559" t="s">
        <v>213</v>
      </c>
      <c r="B8" s="1560" t="s">
        <v>214</v>
      </c>
      <c r="C8" s="1560" t="s">
        <v>215</v>
      </c>
      <c r="D8" s="1500" t="s">
        <v>216</v>
      </c>
      <c r="E8" s="1500"/>
      <c r="F8" s="1500"/>
      <c r="G8" s="1500"/>
      <c r="H8" s="1500"/>
      <c r="I8" s="1500"/>
      <c r="J8" s="1598"/>
    </row>
    <row r="9" spans="1:10" ht="21.75" customHeight="1">
      <c r="A9" s="1559"/>
      <c r="B9" s="1560"/>
      <c r="C9" s="1560"/>
      <c r="D9" s="1560" t="s">
        <v>103</v>
      </c>
      <c r="E9" s="1560"/>
      <c r="F9" s="1560"/>
      <c r="G9" s="1560"/>
      <c r="H9" s="1500" t="s">
        <v>823</v>
      </c>
      <c r="I9" s="1501"/>
      <c r="J9" s="1502"/>
    </row>
    <row r="10" spans="1:10" s="202" customFormat="1" ht="21.75" customHeight="1">
      <c r="A10" s="700" t="s">
        <v>217</v>
      </c>
      <c r="B10" s="701">
        <f>B11+B31</f>
        <v>95689190</v>
      </c>
      <c r="C10" s="701">
        <f>C11+C31</f>
        <v>95689190</v>
      </c>
      <c r="D10" s="1587">
        <f>D11+D31</f>
        <v>31789209.549999997</v>
      </c>
      <c r="E10" s="1587"/>
      <c r="F10" s="1587"/>
      <c r="G10" s="1587"/>
      <c r="H10" s="1512">
        <f>H11+H31</f>
        <v>25989644.709999997</v>
      </c>
      <c r="I10" s="1513"/>
      <c r="J10" s="1514"/>
    </row>
    <row r="11" spans="1:10" s="202" customFormat="1" ht="13.5" customHeight="1">
      <c r="A11" s="702" t="s">
        <v>16</v>
      </c>
      <c r="B11" s="698">
        <f>B12+B23+B28</f>
        <v>95689190</v>
      </c>
      <c r="C11" s="698">
        <f>C12+C23+C28</f>
        <v>95689190</v>
      </c>
      <c r="D11" s="1587">
        <f>D12+D18+D23+D28</f>
        <v>31789209.549999997</v>
      </c>
      <c r="E11" s="1587"/>
      <c r="F11" s="1587"/>
      <c r="G11" s="1587"/>
      <c r="H11" s="1512">
        <f>H12+H18+H22+H23+H28</f>
        <v>25989644.709999997</v>
      </c>
      <c r="I11" s="1513"/>
      <c r="J11" s="1514"/>
    </row>
    <row r="12" spans="1:10" s="202" customFormat="1" ht="13.5" customHeight="1">
      <c r="A12" s="703" t="s">
        <v>194</v>
      </c>
      <c r="B12" s="685">
        <f>B13</f>
        <v>69590714</v>
      </c>
      <c r="C12" s="685">
        <f>C13</f>
        <v>69590714</v>
      </c>
      <c r="D12" s="1510">
        <f>D13</f>
        <v>22794621.11</v>
      </c>
      <c r="E12" s="1510"/>
      <c r="F12" s="1510"/>
      <c r="G12" s="1510"/>
      <c r="H12" s="1536">
        <f>H13</f>
        <v>20409143.74</v>
      </c>
      <c r="I12" s="1537"/>
      <c r="J12" s="1538"/>
    </row>
    <row r="13" spans="1:10" s="202" customFormat="1" ht="13.5" customHeight="1">
      <c r="A13" s="704" t="s">
        <v>218</v>
      </c>
      <c r="B13" s="685">
        <f>B14+B15+B16+B17</f>
        <v>69590714</v>
      </c>
      <c r="C13" s="685">
        <f>C14+C15+C16+C17</f>
        <v>69590714</v>
      </c>
      <c r="D13" s="1510">
        <f>D14+D15+D16+D17</f>
        <v>22794621.11</v>
      </c>
      <c r="E13" s="1510"/>
      <c r="F13" s="1510"/>
      <c r="G13" s="1510"/>
      <c r="H13" s="1536">
        <f>H14+H15+H16+H17</f>
        <v>20409143.74</v>
      </c>
      <c r="I13" s="1537"/>
      <c r="J13" s="1538"/>
    </row>
    <row r="14" spans="1:10" ht="6.75" customHeight="1">
      <c r="A14" s="192"/>
      <c r="B14" s="684"/>
      <c r="C14" s="683"/>
      <c r="D14" s="1596"/>
      <c r="E14" s="1596"/>
      <c r="F14" s="682"/>
      <c r="G14" s="682"/>
      <c r="H14" s="682"/>
      <c r="I14" s="1584"/>
      <c r="J14" s="1597"/>
    </row>
    <row r="15" spans="1:10" ht="13.5" customHeight="1">
      <c r="A15" s="192" t="s">
        <v>219</v>
      </c>
      <c r="B15" s="683">
        <v>67073517</v>
      </c>
      <c r="C15" s="683">
        <f>B15</f>
        <v>67073517</v>
      </c>
      <c r="D15" s="1592">
        <v>21992970.69</v>
      </c>
      <c r="E15" s="1592"/>
      <c r="F15" s="1592"/>
      <c r="G15" s="1592"/>
      <c r="H15" s="1593">
        <v>19842648.83</v>
      </c>
      <c r="I15" s="1594"/>
      <c r="J15" s="1595"/>
    </row>
    <row r="16" spans="1:10" ht="13.5" customHeight="1">
      <c r="A16" s="192" t="s">
        <v>220</v>
      </c>
      <c r="B16" s="683">
        <v>1656486</v>
      </c>
      <c r="C16" s="683">
        <f>B16</f>
        <v>1656486</v>
      </c>
      <c r="D16" s="1592">
        <v>639780.56</v>
      </c>
      <c r="E16" s="1592"/>
      <c r="F16" s="1592"/>
      <c r="G16" s="1592"/>
      <c r="H16" s="1593">
        <v>438807.67</v>
      </c>
      <c r="I16" s="1594"/>
      <c r="J16" s="1595"/>
    </row>
    <row r="17" spans="1:10" ht="13.5" customHeight="1">
      <c r="A17" s="192" t="s">
        <v>221</v>
      </c>
      <c r="B17" s="683">
        <v>860711</v>
      </c>
      <c r="C17" s="683">
        <f>B17</f>
        <v>860711</v>
      </c>
      <c r="D17" s="1592">
        <v>161869.86</v>
      </c>
      <c r="E17" s="1592"/>
      <c r="F17" s="1592"/>
      <c r="G17" s="1592"/>
      <c r="H17" s="1593">
        <v>127687.24</v>
      </c>
      <c r="I17" s="1594"/>
      <c r="J17" s="1595"/>
    </row>
    <row r="18" spans="1:10" s="202" customFormat="1" ht="13.5" customHeight="1">
      <c r="A18" s="704" t="s">
        <v>222</v>
      </c>
      <c r="B18" s="685">
        <f>B19+B20+B21</f>
        <v>0</v>
      </c>
      <c r="C18" s="685">
        <f>C19+C20+C21</f>
        <v>0</v>
      </c>
      <c r="D18" s="1510">
        <f>D19+D20+D21</f>
        <v>0</v>
      </c>
      <c r="E18" s="1510"/>
      <c r="F18" s="1510"/>
      <c r="G18" s="1510"/>
      <c r="H18" s="1512"/>
      <c r="I18" s="1513"/>
      <c r="J18" s="1514"/>
    </row>
    <row r="19" spans="1:10" ht="13.5" customHeight="1">
      <c r="A19" s="192" t="s">
        <v>223</v>
      </c>
      <c r="B19" s="683"/>
      <c r="C19" s="683"/>
      <c r="D19" s="1592"/>
      <c r="E19" s="1592"/>
      <c r="F19" s="1592"/>
      <c r="G19" s="1592"/>
      <c r="H19" s="1504">
        <v>0</v>
      </c>
      <c r="I19" s="1505"/>
      <c r="J19" s="1506"/>
    </row>
    <row r="20" spans="1:10" ht="13.5" customHeight="1">
      <c r="A20" s="192" t="s">
        <v>224</v>
      </c>
      <c r="B20" s="683"/>
      <c r="C20" s="683"/>
      <c r="D20" s="1592"/>
      <c r="E20" s="1592"/>
      <c r="F20" s="1592"/>
      <c r="G20" s="1592"/>
      <c r="H20" s="1504">
        <v>0</v>
      </c>
      <c r="I20" s="1505"/>
      <c r="J20" s="1506"/>
    </row>
    <row r="21" spans="1:10" ht="13.5" customHeight="1">
      <c r="A21" s="192" t="s">
        <v>225</v>
      </c>
      <c r="B21" s="683"/>
      <c r="C21" s="683"/>
      <c r="D21" s="1592"/>
      <c r="E21" s="1592"/>
      <c r="F21" s="1592"/>
      <c r="G21" s="1592"/>
      <c r="H21" s="1504">
        <v>0</v>
      </c>
      <c r="I21" s="1505"/>
      <c r="J21" s="1506"/>
    </row>
    <row r="22" spans="1:10" ht="13.5" customHeight="1">
      <c r="A22" s="190" t="s">
        <v>226</v>
      </c>
      <c r="B22" s="683"/>
      <c r="C22" s="683"/>
      <c r="D22" s="1547"/>
      <c r="E22" s="1547"/>
      <c r="F22" s="1547"/>
      <c r="G22" s="1547"/>
      <c r="H22" s="1504">
        <v>22338.4</v>
      </c>
      <c r="I22" s="1505"/>
      <c r="J22" s="1506"/>
    </row>
    <row r="23" spans="1:10" s="202" customFormat="1" ht="13.5" customHeight="1">
      <c r="A23" s="703" t="s">
        <v>195</v>
      </c>
      <c r="B23" s="685">
        <f>B24+B25+B26</f>
        <v>21700044</v>
      </c>
      <c r="C23" s="685">
        <f>C24+C25+C26</f>
        <v>21700044</v>
      </c>
      <c r="D23" s="1587">
        <f>D24+D25+D26</f>
        <v>6768612.720000001</v>
      </c>
      <c r="E23" s="1587"/>
      <c r="F23" s="1587"/>
      <c r="G23" s="1587"/>
      <c r="H23" s="1512">
        <f>H24+H25+H26</f>
        <v>4581930.88</v>
      </c>
      <c r="I23" s="1513"/>
      <c r="J23" s="1514"/>
    </row>
    <row r="24" spans="1:10" ht="13.5" customHeight="1">
      <c r="A24" s="191" t="s">
        <v>25</v>
      </c>
      <c r="B24" s="683"/>
      <c r="C24" s="683"/>
      <c r="D24" s="1547">
        <v>0</v>
      </c>
      <c r="E24" s="1547"/>
      <c r="F24" s="1547"/>
      <c r="G24" s="1547"/>
      <c r="H24" s="1504">
        <v>0</v>
      </c>
      <c r="I24" s="1505"/>
      <c r="J24" s="1506"/>
    </row>
    <row r="25" spans="1:10" ht="13.5" customHeight="1">
      <c r="A25" s="191" t="s">
        <v>26</v>
      </c>
      <c r="B25" s="683">
        <v>21700044</v>
      </c>
      <c r="C25" s="683">
        <f>B25</f>
        <v>21700044</v>
      </c>
      <c r="D25" s="1592">
        <v>4889897.49</v>
      </c>
      <c r="E25" s="1592"/>
      <c r="F25" s="1592"/>
      <c r="G25" s="1592"/>
      <c r="H25" s="1504">
        <v>4547972.97</v>
      </c>
      <c r="I25" s="1505"/>
      <c r="J25" s="1506"/>
    </row>
    <row r="26" spans="1:10" ht="13.5" customHeight="1">
      <c r="A26" s="191" t="s">
        <v>29</v>
      </c>
      <c r="B26" s="683"/>
      <c r="C26" s="683"/>
      <c r="D26" s="1592">
        <v>1878715.23</v>
      </c>
      <c r="E26" s="1592"/>
      <c r="F26" s="1592"/>
      <c r="G26" s="1592"/>
      <c r="H26" s="1504">
        <v>33957.91</v>
      </c>
      <c r="I26" s="1505"/>
      <c r="J26" s="1506"/>
    </row>
    <row r="27" spans="1:10" ht="13.5" customHeight="1">
      <c r="A27" s="703" t="s">
        <v>31</v>
      </c>
      <c r="B27" s="683"/>
      <c r="C27" s="683"/>
      <c r="D27" s="1547"/>
      <c r="E27" s="1547"/>
      <c r="F27" s="1547"/>
      <c r="G27" s="1547"/>
      <c r="H27" s="1504">
        <v>0</v>
      </c>
      <c r="I27" s="1505"/>
      <c r="J27" s="1506"/>
    </row>
    <row r="28" spans="1:10" s="202" customFormat="1" ht="13.5" customHeight="1">
      <c r="A28" s="703" t="s">
        <v>205</v>
      </c>
      <c r="B28" s="685">
        <f>B29+B30</f>
        <v>4398432</v>
      </c>
      <c r="C28" s="685">
        <f>C29+C30</f>
        <v>4398432</v>
      </c>
      <c r="D28" s="1587">
        <f>D29+D30</f>
        <v>2225975.72</v>
      </c>
      <c r="E28" s="1587"/>
      <c r="F28" s="1587"/>
      <c r="G28" s="1587"/>
      <c r="H28" s="1512">
        <f>H29+H30</f>
        <v>976231.69</v>
      </c>
      <c r="I28" s="1513"/>
      <c r="J28" s="1514"/>
    </row>
    <row r="29" spans="1:10" ht="13.5" customHeight="1">
      <c r="A29" s="191" t="s">
        <v>227</v>
      </c>
      <c r="B29" s="683">
        <v>354096</v>
      </c>
      <c r="C29" s="683">
        <f>B29</f>
        <v>354096</v>
      </c>
      <c r="D29" s="1592"/>
      <c r="E29" s="1592"/>
      <c r="F29" s="1592"/>
      <c r="G29" s="1592"/>
      <c r="H29" s="1504">
        <v>60972.96</v>
      </c>
      <c r="I29" s="1505"/>
      <c r="J29" s="1506"/>
    </row>
    <row r="30" spans="1:10" ht="13.5" customHeight="1">
      <c r="A30" s="190" t="s">
        <v>228</v>
      </c>
      <c r="B30" s="683">
        <v>4044336</v>
      </c>
      <c r="C30" s="683">
        <f>B30</f>
        <v>4044336</v>
      </c>
      <c r="D30" s="1592">
        <v>2225975.72</v>
      </c>
      <c r="E30" s="1592"/>
      <c r="F30" s="1592"/>
      <c r="G30" s="1592"/>
      <c r="H30" s="1504">
        <v>915258.73</v>
      </c>
      <c r="I30" s="1505"/>
      <c r="J30" s="1506"/>
    </row>
    <row r="31" spans="1:10" s="202" customFormat="1" ht="13.5" customHeight="1">
      <c r="A31" s="697" t="s">
        <v>41</v>
      </c>
      <c r="B31" s="685">
        <f>B32+B34</f>
        <v>0</v>
      </c>
      <c r="C31" s="685">
        <f>C32+C34</f>
        <v>0</v>
      </c>
      <c r="D31" s="1510">
        <f>D32+D34</f>
        <v>0</v>
      </c>
      <c r="E31" s="1510"/>
      <c r="F31" s="1510"/>
      <c r="G31" s="1510"/>
      <c r="H31" s="1512">
        <v>0</v>
      </c>
      <c r="I31" s="1513"/>
      <c r="J31" s="1514"/>
    </row>
    <row r="32" spans="1:10" ht="13.5" customHeight="1">
      <c r="A32" s="190" t="s">
        <v>229</v>
      </c>
      <c r="B32" s="683"/>
      <c r="C32" s="683"/>
      <c r="D32" s="1547"/>
      <c r="E32" s="1547"/>
      <c r="F32" s="1547"/>
      <c r="G32" s="1547"/>
      <c r="H32" s="1504">
        <v>0</v>
      </c>
      <c r="I32" s="1505"/>
      <c r="J32" s="1506"/>
    </row>
    <row r="33" spans="1:10" ht="13.5" customHeight="1">
      <c r="A33" s="190" t="s">
        <v>230</v>
      </c>
      <c r="B33" s="683"/>
      <c r="C33" s="683"/>
      <c r="D33" s="1547"/>
      <c r="E33" s="1547"/>
      <c r="F33" s="1547"/>
      <c r="G33" s="1547"/>
      <c r="H33" s="1504">
        <v>0</v>
      </c>
      <c r="I33" s="1505"/>
      <c r="J33" s="1506"/>
    </row>
    <row r="34" spans="1:10" ht="13.5" customHeight="1">
      <c r="A34" s="190" t="s">
        <v>231</v>
      </c>
      <c r="B34" s="683"/>
      <c r="C34" s="683"/>
      <c r="D34" s="1547"/>
      <c r="E34" s="1547"/>
      <c r="F34" s="1547"/>
      <c r="G34" s="1547"/>
      <c r="H34" s="1504">
        <v>0</v>
      </c>
      <c r="I34" s="1505"/>
      <c r="J34" s="1506"/>
    </row>
    <row r="35" spans="1:10" ht="13.5" customHeight="1">
      <c r="A35" s="195" t="s">
        <v>232</v>
      </c>
      <c r="B35" s="683"/>
      <c r="C35" s="683"/>
      <c r="D35" s="1592"/>
      <c r="E35" s="1592"/>
      <c r="F35" s="1592"/>
      <c r="G35" s="1592"/>
      <c r="H35" s="1504">
        <v>0</v>
      </c>
      <c r="I35" s="1505"/>
      <c r="J35" s="1506"/>
    </row>
    <row r="36" spans="1:10" ht="13.5" customHeight="1">
      <c r="A36" s="188" t="s">
        <v>233</v>
      </c>
      <c r="B36" s="683"/>
      <c r="C36" s="683"/>
      <c r="D36" s="1592"/>
      <c r="E36" s="1592"/>
      <c r="F36" s="1592"/>
      <c r="G36" s="1592"/>
      <c r="H36" s="1504">
        <v>0</v>
      </c>
      <c r="I36" s="1505"/>
      <c r="J36" s="1506"/>
    </row>
    <row r="37" spans="1:10" s="202" customFormat="1" ht="13.5" customHeight="1">
      <c r="A37" s="700" t="s">
        <v>234</v>
      </c>
      <c r="B37" s="685">
        <f>B121</f>
        <v>86178831</v>
      </c>
      <c r="C37" s="685">
        <f>C121</f>
        <v>86178831</v>
      </c>
      <c r="D37" s="1587">
        <f>D121</f>
        <v>26372824.9</v>
      </c>
      <c r="E37" s="1587"/>
      <c r="F37" s="1587"/>
      <c r="G37" s="1587"/>
      <c r="H37" s="1512">
        <f>H121</f>
        <v>20409143.74</v>
      </c>
      <c r="I37" s="1513"/>
      <c r="J37" s="1514"/>
    </row>
    <row r="38" spans="1:12" ht="15.75" customHeight="1">
      <c r="A38" s="201" t="s">
        <v>235</v>
      </c>
      <c r="B38" s="685">
        <f>B10+B37</f>
        <v>181868021</v>
      </c>
      <c r="C38" s="685">
        <f>C10+C37</f>
        <v>181868021</v>
      </c>
      <c r="D38" s="1510">
        <f>D10+D37</f>
        <v>58162034.449999996</v>
      </c>
      <c r="E38" s="1510"/>
      <c r="F38" s="1510"/>
      <c r="G38" s="1510"/>
      <c r="H38" s="1536">
        <f>H10+H37</f>
        <v>46398788.449999996</v>
      </c>
      <c r="I38" s="1537"/>
      <c r="J38" s="1538"/>
      <c r="L38" s="628"/>
    </row>
    <row r="39" spans="2:10" ht="8.25" customHeight="1">
      <c r="B39" s="196"/>
      <c r="C39" s="196"/>
      <c r="D39" s="196"/>
      <c r="E39" s="196"/>
      <c r="F39" s="196"/>
      <c r="G39" s="196"/>
      <c r="H39" s="196"/>
      <c r="I39" s="1081"/>
      <c r="J39" s="1081"/>
    </row>
    <row r="40" spans="1:10" ht="12.75" customHeight="1">
      <c r="A40" s="1545" t="s">
        <v>236</v>
      </c>
      <c r="B40" s="1546" t="s">
        <v>237</v>
      </c>
      <c r="C40" s="1546" t="s">
        <v>238</v>
      </c>
      <c r="D40" s="1588" t="s">
        <v>646</v>
      </c>
      <c r="E40" s="1589"/>
      <c r="F40" s="1589"/>
      <c r="G40" s="1589" t="s">
        <v>850</v>
      </c>
      <c r="H40" s="1589"/>
      <c r="I40" s="1589" t="s">
        <v>239</v>
      </c>
      <c r="J40" s="1589"/>
    </row>
    <row r="41" spans="1:10" ht="12.75" customHeight="1">
      <c r="A41" s="1545"/>
      <c r="B41" s="1546"/>
      <c r="C41" s="1546"/>
      <c r="D41" s="1590"/>
      <c r="E41" s="1591"/>
      <c r="F41" s="1591"/>
      <c r="G41" s="1591"/>
      <c r="H41" s="1591"/>
      <c r="I41" s="1591"/>
      <c r="J41" s="1591"/>
    </row>
    <row r="42" spans="1:10" ht="23.25" customHeight="1">
      <c r="A42" s="1545"/>
      <c r="B42" s="1546"/>
      <c r="C42" s="1546"/>
      <c r="D42" s="1586" t="s">
        <v>103</v>
      </c>
      <c r="E42" s="1586"/>
      <c r="F42" s="1139" t="s">
        <v>823</v>
      </c>
      <c r="G42" s="1140" t="s">
        <v>103</v>
      </c>
      <c r="H42" s="1139" t="s">
        <v>823</v>
      </c>
      <c r="I42" s="1141" t="s">
        <v>851</v>
      </c>
      <c r="J42" s="1139" t="s">
        <v>853</v>
      </c>
    </row>
    <row r="43" spans="1:10" s="202" customFormat="1" ht="21.75" customHeight="1">
      <c r="A43" s="700" t="s">
        <v>240</v>
      </c>
      <c r="B43" s="701">
        <f>B44+B47</f>
        <v>192330432</v>
      </c>
      <c r="C43" s="701">
        <f>C44+C47</f>
        <v>192330432</v>
      </c>
      <c r="D43" s="1512">
        <f>D44+D47</f>
        <v>183984220.86</v>
      </c>
      <c r="E43" s="1512"/>
      <c r="F43" s="1136">
        <f>F44+F47</f>
        <v>149987033.31</v>
      </c>
      <c r="G43" s="696">
        <f>G44+G47</f>
        <v>61627477.800000004</v>
      </c>
      <c r="H43" s="696">
        <f>H44+H47</f>
        <v>48214756.73</v>
      </c>
      <c r="I43" s="696">
        <f>I44+I47</f>
        <v>0</v>
      </c>
      <c r="J43" s="696">
        <f>J44+J47</f>
        <v>0</v>
      </c>
    </row>
    <row r="44" spans="1:10" s="202" customFormat="1" ht="15.75" customHeight="1">
      <c r="A44" s="697" t="s">
        <v>241</v>
      </c>
      <c r="B44" s="685">
        <f>B46+B45</f>
        <v>15636306</v>
      </c>
      <c r="C44" s="685">
        <f>C46+C45</f>
        <v>15636306</v>
      </c>
      <c r="D44" s="1585">
        <f>D45+D46</f>
        <v>11384220.86</v>
      </c>
      <c r="E44" s="1585"/>
      <c r="F44" s="1135">
        <f>F45+F46</f>
        <v>4716010.79</v>
      </c>
      <c r="G44" s="699">
        <f>G45+G46</f>
        <v>2422530.46</v>
      </c>
      <c r="H44" s="1135">
        <f>H45+H46</f>
        <v>2088020.74</v>
      </c>
      <c r="I44" s="699">
        <f>I45+I46</f>
        <v>0</v>
      </c>
      <c r="J44" s="1082">
        <f>J45+J46</f>
        <v>0</v>
      </c>
    </row>
    <row r="45" spans="1:10" ht="15.75" customHeight="1">
      <c r="A45" s="197" t="s">
        <v>242</v>
      </c>
      <c r="B45" s="683">
        <v>13193968</v>
      </c>
      <c r="C45" s="683">
        <f>B45</f>
        <v>13193968</v>
      </c>
      <c r="D45" s="1584">
        <v>11232208.36</v>
      </c>
      <c r="E45" s="1584"/>
      <c r="F45" s="682">
        <v>4716010.79</v>
      </c>
      <c r="G45" s="686">
        <v>2389090.19</v>
      </c>
      <c r="H45" s="1083">
        <v>2088020.74</v>
      </c>
      <c r="I45" s="1083"/>
      <c r="J45" s="686">
        <v>0</v>
      </c>
    </row>
    <row r="46" spans="1:10" ht="15.75" customHeight="1">
      <c r="A46" s="197" t="s">
        <v>243</v>
      </c>
      <c r="B46" s="683">
        <v>2442338</v>
      </c>
      <c r="C46" s="683">
        <f>B46</f>
        <v>2442338</v>
      </c>
      <c r="D46" s="1584">
        <v>152012.5</v>
      </c>
      <c r="E46" s="1584"/>
      <c r="F46" s="682">
        <v>0</v>
      </c>
      <c r="G46" s="686">
        <v>33440.27</v>
      </c>
      <c r="H46" s="1083">
        <v>0</v>
      </c>
      <c r="I46" s="1083"/>
      <c r="J46" s="686">
        <v>0</v>
      </c>
    </row>
    <row r="47" spans="1:10" s="202" customFormat="1" ht="15.75" customHeight="1">
      <c r="A47" s="707" t="s">
        <v>244</v>
      </c>
      <c r="B47" s="685">
        <f>B48+B52+B56</f>
        <v>176694126</v>
      </c>
      <c r="C47" s="685">
        <f>C48+C52+C56</f>
        <v>176694126</v>
      </c>
      <c r="D47" s="1585">
        <f>D48+D52+D56</f>
        <v>172600000</v>
      </c>
      <c r="E47" s="1585"/>
      <c r="F47" s="1135">
        <f>F48+F52+F56</f>
        <v>145271022.52</v>
      </c>
      <c r="G47" s="699">
        <f>G48+G52+G56</f>
        <v>59204947.34</v>
      </c>
      <c r="H47" s="1135">
        <f>H48+H52+H56</f>
        <v>46126735.989999995</v>
      </c>
      <c r="I47" s="699">
        <f>I48+I52+I56</f>
        <v>0</v>
      </c>
      <c r="J47" s="1082">
        <f>J48+J52+J56</f>
        <v>0</v>
      </c>
    </row>
    <row r="48" spans="1:10" s="202" customFormat="1" ht="15.75" customHeight="1">
      <c r="A48" s="708" t="s">
        <v>218</v>
      </c>
      <c r="B48" s="685">
        <f>B49+B50+B51</f>
        <v>176694126</v>
      </c>
      <c r="C48" s="685">
        <f>C49+C50+C51</f>
        <v>176694126</v>
      </c>
      <c r="D48" s="1585">
        <f>D49+D50+D51</f>
        <v>172600000</v>
      </c>
      <c r="E48" s="1585"/>
      <c r="F48" s="1135">
        <f>F49+F50+F51</f>
        <v>145271022.52</v>
      </c>
      <c r="G48" s="699">
        <f>G49+G50+G51</f>
        <v>59204947.34</v>
      </c>
      <c r="H48" s="1135">
        <f>H49+H50+H51</f>
        <v>46126735.989999995</v>
      </c>
      <c r="I48" s="699">
        <f>I49+I50+I51</f>
        <v>0</v>
      </c>
      <c r="J48" s="1082">
        <f>J49+J50+J51</f>
        <v>0</v>
      </c>
    </row>
    <row r="49" spans="1:10" ht="15.75" customHeight="1">
      <c r="A49" s="200" t="s">
        <v>245</v>
      </c>
      <c r="B49" s="683">
        <v>124956270</v>
      </c>
      <c r="C49" s="683">
        <f>B49</f>
        <v>124956270</v>
      </c>
      <c r="D49" s="1584">
        <v>121600000</v>
      </c>
      <c r="E49" s="1584"/>
      <c r="F49" s="682">
        <v>119280090.72</v>
      </c>
      <c r="G49" s="686">
        <v>41794815.7</v>
      </c>
      <c r="H49" s="1083">
        <v>32665614.47</v>
      </c>
      <c r="I49" s="1083"/>
      <c r="J49" s="686">
        <v>0</v>
      </c>
    </row>
    <row r="50" spans="1:10" ht="15.75" customHeight="1">
      <c r="A50" s="200" t="s">
        <v>246</v>
      </c>
      <c r="B50" s="683">
        <v>51737856</v>
      </c>
      <c r="C50" s="683">
        <f>B50</f>
        <v>51737856</v>
      </c>
      <c r="D50" s="1584">
        <v>51000000</v>
      </c>
      <c r="E50" s="1584"/>
      <c r="F50" s="682">
        <v>25990931.8</v>
      </c>
      <c r="G50" s="686">
        <v>17410131.64</v>
      </c>
      <c r="H50" s="1083">
        <v>13461121.52</v>
      </c>
      <c r="I50" s="1083"/>
      <c r="J50" s="686">
        <v>0</v>
      </c>
    </row>
    <row r="51" spans="1:10" ht="15.75" customHeight="1">
      <c r="A51" s="200" t="s">
        <v>247</v>
      </c>
      <c r="B51" s="683"/>
      <c r="C51" s="683">
        <f>B51</f>
        <v>0</v>
      </c>
      <c r="D51" s="1584"/>
      <c r="E51" s="1584"/>
      <c r="F51" s="682"/>
      <c r="G51" s="686">
        <v>0</v>
      </c>
      <c r="H51" s="1083"/>
      <c r="I51" s="1083">
        <v>0</v>
      </c>
      <c r="J51" s="686">
        <v>0</v>
      </c>
    </row>
    <row r="52" spans="1:10" s="202" customFormat="1" ht="15.75" customHeight="1">
      <c r="A52" s="708" t="s">
        <v>222</v>
      </c>
      <c r="B52" s="685">
        <f>B53+B54+B55</f>
        <v>0</v>
      </c>
      <c r="C52" s="685">
        <f>C53+C54+C55</f>
        <v>0</v>
      </c>
      <c r="D52" s="1585">
        <f>D53+D54+D55</f>
        <v>0</v>
      </c>
      <c r="E52" s="1585"/>
      <c r="F52" s="1135">
        <f>F53+F54+F55</f>
        <v>0</v>
      </c>
      <c r="G52" s="706">
        <v>0</v>
      </c>
      <c r="H52" s="1135">
        <f>H53+H54+H55</f>
        <v>0</v>
      </c>
      <c r="I52" s="699">
        <f>I53+I54+I55</f>
        <v>0</v>
      </c>
      <c r="J52" s="706">
        <v>0</v>
      </c>
    </row>
    <row r="53" spans="1:10" ht="13.5" customHeight="1">
      <c r="A53" s="200" t="s">
        <v>248</v>
      </c>
      <c r="B53" s="683"/>
      <c r="C53" s="683">
        <f>B53</f>
        <v>0</v>
      </c>
      <c r="D53" s="1584"/>
      <c r="E53" s="1584"/>
      <c r="F53" s="682"/>
      <c r="G53" s="686">
        <v>0</v>
      </c>
      <c r="H53" s="1083"/>
      <c r="I53" s="1083">
        <v>0</v>
      </c>
      <c r="J53" s="686">
        <v>0</v>
      </c>
    </row>
    <row r="54" spans="1:10" ht="13.5" customHeight="1">
      <c r="A54" s="200" t="s">
        <v>246</v>
      </c>
      <c r="B54" s="683"/>
      <c r="C54" s="683">
        <f>B54</f>
        <v>0</v>
      </c>
      <c r="D54" s="1584"/>
      <c r="E54" s="1584"/>
      <c r="F54" s="682"/>
      <c r="G54" s="686">
        <v>0</v>
      </c>
      <c r="H54" s="1083"/>
      <c r="I54" s="1083">
        <v>0</v>
      </c>
      <c r="J54" s="686">
        <v>0</v>
      </c>
    </row>
    <row r="55" spans="1:10" s="202" customFormat="1" ht="13.5" customHeight="1">
      <c r="A55" s="200" t="s">
        <v>247</v>
      </c>
      <c r="B55" s="685"/>
      <c r="C55" s="685">
        <f>B55</f>
        <v>0</v>
      </c>
      <c r="D55" s="1585"/>
      <c r="E55" s="1585"/>
      <c r="F55" s="1135"/>
      <c r="G55" s="706">
        <v>0</v>
      </c>
      <c r="H55" s="699"/>
      <c r="I55" s="699">
        <v>0</v>
      </c>
      <c r="J55" s="706">
        <v>0</v>
      </c>
    </row>
    <row r="56" spans="1:10" s="202" customFormat="1" ht="13.5" customHeight="1">
      <c r="A56" s="705" t="s">
        <v>649</v>
      </c>
      <c r="B56" s="685">
        <f>B57+B58</f>
        <v>0</v>
      </c>
      <c r="C56" s="685">
        <f>C57+C58</f>
        <v>0</v>
      </c>
      <c r="D56" s="1585">
        <f>D57+D58</f>
        <v>0</v>
      </c>
      <c r="E56" s="1585"/>
      <c r="F56" s="1135">
        <f>F57+F58</f>
        <v>0</v>
      </c>
      <c r="G56" s="706">
        <v>0</v>
      </c>
      <c r="H56" s="1135">
        <f>H57+H58</f>
        <v>0</v>
      </c>
      <c r="I56" s="699">
        <v>0</v>
      </c>
      <c r="J56" s="706">
        <v>0</v>
      </c>
    </row>
    <row r="57" spans="1:10" ht="13.5" customHeight="1">
      <c r="A57" s="199" t="s">
        <v>650</v>
      </c>
      <c r="B57" s="683"/>
      <c r="C57" s="683">
        <f>B57</f>
        <v>0</v>
      </c>
      <c r="D57" s="1584"/>
      <c r="E57" s="1584"/>
      <c r="F57" s="682"/>
      <c r="G57" s="686">
        <v>0</v>
      </c>
      <c r="H57" s="1083"/>
      <c r="I57" s="1083">
        <v>0</v>
      </c>
      <c r="J57" s="686">
        <v>0</v>
      </c>
    </row>
    <row r="58" spans="1:10" ht="13.5" customHeight="1">
      <c r="A58" s="197" t="s">
        <v>250</v>
      </c>
      <c r="B58" s="683"/>
      <c r="C58" s="683"/>
      <c r="D58" s="1504"/>
      <c r="E58" s="1504"/>
      <c r="F58" s="1132"/>
      <c r="G58" s="686">
        <v>0</v>
      </c>
      <c r="H58" s="1083"/>
      <c r="I58" s="1083">
        <v>0</v>
      </c>
      <c r="J58" s="686">
        <v>0</v>
      </c>
    </row>
    <row r="59" spans="1:10" ht="13.5" customHeight="1">
      <c r="A59" s="188" t="s">
        <v>251</v>
      </c>
      <c r="B59" s="683">
        <v>0</v>
      </c>
      <c r="C59" s="683">
        <v>0</v>
      </c>
      <c r="D59" s="1556">
        <v>0</v>
      </c>
      <c r="E59" s="1556"/>
      <c r="F59" s="1134"/>
      <c r="G59" s="1152">
        <v>0</v>
      </c>
      <c r="H59" s="1083"/>
      <c r="I59" s="1153">
        <v>0</v>
      </c>
      <c r="J59" s="1152">
        <v>0</v>
      </c>
    </row>
    <row r="60" spans="1:10" s="202" customFormat="1" ht="15.75" customHeight="1">
      <c r="A60" s="201" t="s">
        <v>252</v>
      </c>
      <c r="B60" s="685">
        <f>B43+B59</f>
        <v>192330432</v>
      </c>
      <c r="C60" s="1024">
        <f>C43+C59</f>
        <v>192330432</v>
      </c>
      <c r="D60" s="1524">
        <f>D43+D59</f>
        <v>183984220.86</v>
      </c>
      <c r="E60" s="1525"/>
      <c r="F60" s="1024">
        <f>F43+F59</f>
        <v>149987033.31</v>
      </c>
      <c r="G60" s="1024">
        <f>G43+G59</f>
        <v>61627477.800000004</v>
      </c>
      <c r="H60" s="1024">
        <f>H43+H59</f>
        <v>48214756.73</v>
      </c>
      <c r="I60" s="1024">
        <f>I43+I59</f>
        <v>0</v>
      </c>
      <c r="J60" s="1035">
        <f>J43+J59</f>
        <v>0</v>
      </c>
    </row>
    <row r="61" spans="1:10" s="202" customFormat="1" ht="15.75" customHeight="1">
      <c r="A61" s="201" t="s">
        <v>253</v>
      </c>
      <c r="B61" s="685">
        <f>B38-B60</f>
        <v>-10462411</v>
      </c>
      <c r="C61" s="1024">
        <f>C38-C60</f>
        <v>-10462411</v>
      </c>
      <c r="D61" s="1498">
        <f>D38-D60</f>
        <v>-125822186.41000003</v>
      </c>
      <c r="E61" s="1499"/>
      <c r="F61" s="1024">
        <f>H38-F60</f>
        <v>-103588244.86000001</v>
      </c>
      <c r="G61" s="1024">
        <f>D38-G60</f>
        <v>-3465443.350000009</v>
      </c>
      <c r="H61" s="1024">
        <f>H38-H60</f>
        <v>-1815968.2800000012</v>
      </c>
      <c r="I61" s="1024">
        <f>I38-I60</f>
        <v>0</v>
      </c>
      <c r="J61" s="1035">
        <f>J38-J60</f>
        <v>0</v>
      </c>
    </row>
    <row r="62" spans="1:10" ht="12.75" customHeight="1">
      <c r="A62" s="203"/>
      <c r="B62" s="204"/>
      <c r="C62" s="205"/>
      <c r="D62" s="1580"/>
      <c r="E62" s="1580"/>
      <c r="F62" s="206"/>
      <c r="G62" s="206"/>
      <c r="H62" s="206"/>
      <c r="I62" s="1084"/>
      <c r="J62" s="1085"/>
    </row>
    <row r="63" spans="1:10" ht="24.75" customHeight="1">
      <c r="A63" s="1581" t="s">
        <v>90</v>
      </c>
      <c r="B63" s="1581"/>
      <c r="C63" s="1581"/>
      <c r="D63" s="1581"/>
      <c r="E63" s="1581"/>
      <c r="F63" s="1581"/>
      <c r="G63" s="1581"/>
      <c r="H63" s="1581"/>
      <c r="I63" s="1581"/>
      <c r="J63" s="1581"/>
    </row>
    <row r="64" spans="1:10" ht="12.75" customHeight="1">
      <c r="A64" s="207" t="str">
        <f>'[12]Anexo II_DP FUNC'!A122:L122</f>
        <v>a) Despesas liquidadas, consideradas aquelas em que houve a entrega do material ou serviço, nos termos do art. 63 da Lei 4.320/64;</v>
      </c>
      <c r="B64" s="204"/>
      <c r="C64" s="205"/>
      <c r="D64" s="206"/>
      <c r="E64" s="206"/>
      <c r="F64" s="206"/>
      <c r="G64" s="206"/>
      <c r="H64" s="206"/>
      <c r="I64" s="1084"/>
      <c r="J64" s="1085"/>
    </row>
    <row r="65" spans="1:10" ht="12.75" customHeight="1">
      <c r="A65" s="207" t="str">
        <f>'[12]Anexo II_DP FUNC'!A123:L123</f>
        <v>b) Despesas empenhadas mas não liquidadas, inscritas em Restos a Pagar não-processados, consideradas liquidadas no encerramento do exercício, por força do art.35, inciso II da Lei 4.320/64.</v>
      </c>
      <c r="B65" s="204"/>
      <c r="C65" s="205"/>
      <c r="D65" s="206"/>
      <c r="E65" s="206"/>
      <c r="F65" s="206"/>
      <c r="G65" s="206"/>
      <c r="H65" s="206"/>
      <c r="I65" s="1084"/>
      <c r="J65" s="1085"/>
    </row>
    <row r="66" spans="2:10" ht="12.75" customHeight="1">
      <c r="B66" s="204"/>
      <c r="C66" s="205"/>
      <c r="D66" s="206"/>
      <c r="E66" s="206"/>
      <c r="F66" s="206"/>
      <c r="G66" s="206"/>
      <c r="H66" s="206"/>
      <c r="I66" s="1084"/>
      <c r="J66" s="1085"/>
    </row>
    <row r="67" spans="2:10" ht="12.75" customHeight="1">
      <c r="B67" s="204"/>
      <c r="C67" s="205"/>
      <c r="D67" s="206"/>
      <c r="E67" s="206"/>
      <c r="F67" s="206"/>
      <c r="G67" s="206"/>
      <c r="H67" s="206"/>
      <c r="I67" s="1084"/>
      <c r="J67" s="1085"/>
    </row>
    <row r="68" spans="2:10" ht="8.25" customHeight="1">
      <c r="B68" s="204"/>
      <c r="C68" s="205"/>
      <c r="D68" s="205"/>
      <c r="E68" s="205"/>
      <c r="F68" s="205"/>
      <c r="G68" s="205"/>
      <c r="H68" s="205"/>
      <c r="I68" s="205"/>
      <c r="J68" s="1086"/>
    </row>
    <row r="69" spans="1:10" ht="12.75">
      <c r="A69" s="1582" t="s">
        <v>182</v>
      </c>
      <c r="B69" s="1582"/>
      <c r="C69" s="1582"/>
      <c r="D69" s="1582"/>
      <c r="E69" s="1582"/>
      <c r="F69" s="1582"/>
      <c r="G69" s="1582"/>
      <c r="H69" s="1582"/>
      <c r="I69" s="1582"/>
      <c r="J69" s="1582"/>
    </row>
    <row r="70" spans="1:10" ht="12.75">
      <c r="A70" s="1582" t="s">
        <v>0</v>
      </c>
      <c r="B70" s="1582"/>
      <c r="C70" s="1582"/>
      <c r="D70" s="1582"/>
      <c r="E70" s="1582"/>
      <c r="F70" s="1582"/>
      <c r="G70" s="1582"/>
      <c r="H70" s="1582"/>
      <c r="I70" s="1582"/>
      <c r="J70" s="1582"/>
    </row>
    <row r="71" spans="1:10" ht="12.75">
      <c r="A71" s="1583" t="s">
        <v>254</v>
      </c>
      <c r="B71" s="1583"/>
      <c r="C71" s="1583"/>
      <c r="D71" s="1583"/>
      <c r="E71" s="1583"/>
      <c r="F71" s="1583"/>
      <c r="G71" s="1583"/>
      <c r="H71" s="1583"/>
      <c r="I71" s="1583"/>
      <c r="J71" s="1583"/>
    </row>
    <row r="72" spans="1:10" ht="12.75">
      <c r="A72" s="1582" t="s">
        <v>212</v>
      </c>
      <c r="B72" s="1582"/>
      <c r="C72" s="1582"/>
      <c r="D72" s="1582"/>
      <c r="E72" s="1582"/>
      <c r="F72" s="1582"/>
      <c r="G72" s="1582"/>
      <c r="H72" s="1582"/>
      <c r="I72" s="1582"/>
      <c r="J72" s="1582"/>
    </row>
    <row r="73" spans="1:10" s="1" customFormat="1" ht="15.75" customHeight="1">
      <c r="A73" s="1577" t="str">
        <f>A5</f>
        <v>Referência: JANEIRO-ABRIL/2015; BIMESTRE: MARÇO-ABRIL/2015</v>
      </c>
      <c r="B73" s="1577"/>
      <c r="C73" s="1577"/>
      <c r="D73" s="1577"/>
      <c r="E73" s="184"/>
      <c r="F73" s="184"/>
      <c r="G73" s="1578" t="s">
        <v>950</v>
      </c>
      <c r="H73" s="1578"/>
      <c r="I73" s="1578"/>
      <c r="J73" s="1578"/>
    </row>
    <row r="74" spans="1:11" ht="17.25" customHeight="1">
      <c r="A74" s="123" t="s">
        <v>651</v>
      </c>
      <c r="B74" s="186"/>
      <c r="C74" s="186"/>
      <c r="D74" s="186"/>
      <c r="E74" s="186"/>
      <c r="F74" s="186"/>
      <c r="G74" s="1578" t="s">
        <v>951</v>
      </c>
      <c r="H74" s="1578"/>
      <c r="I74" s="1578"/>
      <c r="J74" s="1142" t="s">
        <v>540</v>
      </c>
      <c r="K74" s="632"/>
    </row>
    <row r="75" spans="1:10" s="121" customFormat="1" ht="11.25" customHeight="1">
      <c r="A75" s="1579" t="s">
        <v>255</v>
      </c>
      <c r="B75" s="1515" t="s">
        <v>852</v>
      </c>
      <c r="C75" s="1516"/>
      <c r="D75" s="1516"/>
      <c r="E75" s="1516"/>
      <c r="F75" s="1516"/>
      <c r="G75" s="1516"/>
      <c r="H75" s="1516"/>
      <c r="I75" s="1516"/>
      <c r="J75" s="1517"/>
    </row>
    <row r="76" spans="1:10" s="121" customFormat="1" ht="11.25" customHeight="1">
      <c r="A76" s="1579"/>
      <c r="B76" s="1518"/>
      <c r="C76" s="1519"/>
      <c r="D76" s="1519"/>
      <c r="E76" s="1519"/>
      <c r="F76" s="1519"/>
      <c r="G76" s="1519"/>
      <c r="H76" s="1519"/>
      <c r="I76" s="1519"/>
      <c r="J76" s="1520"/>
    </row>
    <row r="77" spans="1:10" s="121" customFormat="1" ht="11.25" customHeight="1">
      <c r="A77" s="1579"/>
      <c r="B77" s="1521"/>
      <c r="C77" s="1522"/>
      <c r="D77" s="1522"/>
      <c r="E77" s="1522"/>
      <c r="F77" s="1522"/>
      <c r="G77" s="1522"/>
      <c r="H77" s="1522"/>
      <c r="I77" s="1522"/>
      <c r="J77" s="1523"/>
    </row>
    <row r="78" spans="1:10" s="592" customFormat="1" ht="11.25" customHeight="1">
      <c r="A78" s="709" t="s">
        <v>260</v>
      </c>
      <c r="B78" s="1144">
        <f>B79+B83</f>
        <v>26664179.85</v>
      </c>
      <c r="C78" s="1143"/>
      <c r="D78" s="1143"/>
      <c r="E78" s="1143"/>
      <c r="F78" s="1143"/>
      <c r="G78" s="1143"/>
      <c r="H78" s="1143"/>
      <c r="I78" s="1143"/>
      <c r="J78" s="1145"/>
    </row>
    <row r="79" spans="1:10" s="121" customFormat="1" ht="11.25" customHeight="1">
      <c r="A79" s="210" t="s">
        <v>261</v>
      </c>
      <c r="B79" s="1147">
        <f>B80+B81+B82</f>
        <v>26664179.85</v>
      </c>
      <c r="C79" s="1146"/>
      <c r="D79" s="1146"/>
      <c r="E79" s="1146"/>
      <c r="F79" s="1146"/>
      <c r="G79" s="1146"/>
      <c r="H79" s="1146"/>
      <c r="I79" s="1146"/>
      <c r="J79" s="1148"/>
    </row>
    <row r="80" spans="1:10" s="121" customFormat="1" ht="11.25" customHeight="1">
      <c r="A80" s="210" t="s">
        <v>262</v>
      </c>
      <c r="B80" s="1147">
        <v>26664179.85</v>
      </c>
      <c r="C80" s="1146"/>
      <c r="D80" s="1146"/>
      <c r="E80" s="1146"/>
      <c r="F80" s="1146"/>
      <c r="G80" s="1146"/>
      <c r="H80" s="1146"/>
      <c r="I80" s="1146"/>
      <c r="J80" s="1148"/>
    </row>
    <row r="81" spans="1:10" s="121" customFormat="1" ht="11.25" customHeight="1">
      <c r="A81" s="210" t="s">
        <v>263</v>
      </c>
      <c r="B81" s="1147"/>
      <c r="C81" s="1146"/>
      <c r="D81" s="1146"/>
      <c r="E81" s="1146"/>
      <c r="F81" s="1146"/>
      <c r="G81" s="1146"/>
      <c r="H81" s="1146"/>
      <c r="I81" s="1146"/>
      <c r="J81" s="1148"/>
    </row>
    <row r="82" spans="1:10" s="121" customFormat="1" ht="11.25" customHeight="1">
      <c r="A82" s="210" t="s">
        <v>264</v>
      </c>
      <c r="B82" s="1147"/>
      <c r="C82" s="1146"/>
      <c r="D82" s="1146"/>
      <c r="E82" s="1146"/>
      <c r="F82" s="1146"/>
      <c r="G82" s="1146"/>
      <c r="H82" s="1146"/>
      <c r="I82" s="1146"/>
      <c r="J82" s="1148"/>
    </row>
    <row r="83" spans="1:10" s="592" customFormat="1" ht="11.25" customHeight="1">
      <c r="A83" s="709" t="s">
        <v>265</v>
      </c>
      <c r="B83" s="1147">
        <f>B84+B85+B86</f>
        <v>0</v>
      </c>
      <c r="C83" s="1146"/>
      <c r="D83" s="1146"/>
      <c r="E83" s="1146"/>
      <c r="F83" s="1146"/>
      <c r="G83" s="1146"/>
      <c r="H83" s="1146"/>
      <c r="I83" s="1146"/>
      <c r="J83" s="1148"/>
    </row>
    <row r="84" spans="1:10" s="121" customFormat="1" ht="11.25" customHeight="1">
      <c r="A84" s="210" t="s">
        <v>266</v>
      </c>
      <c r="B84" s="1147"/>
      <c r="C84" s="1146"/>
      <c r="D84" s="1146"/>
      <c r="E84" s="1146"/>
      <c r="F84" s="1146"/>
      <c r="G84" s="1146"/>
      <c r="H84" s="1146"/>
      <c r="I84" s="1146"/>
      <c r="J84" s="1148"/>
    </row>
    <row r="85" spans="1:10" s="121" customFormat="1" ht="11.25" customHeight="1">
      <c r="A85" s="210" t="s">
        <v>267</v>
      </c>
      <c r="B85" s="1147"/>
      <c r="C85" s="1146"/>
      <c r="D85" s="1146"/>
      <c r="E85" s="1146"/>
      <c r="F85" s="1146"/>
      <c r="G85" s="1146"/>
      <c r="H85" s="1146"/>
      <c r="I85" s="1146"/>
      <c r="J85" s="1148"/>
    </row>
    <row r="86" spans="1:10" s="121" customFormat="1" ht="11.25" customHeight="1">
      <c r="A86" s="211" t="s">
        <v>264</v>
      </c>
      <c r="B86" s="1149"/>
      <c r="C86" s="1150"/>
      <c r="D86" s="1150"/>
      <c r="E86" s="1150"/>
      <c r="F86" s="1150"/>
      <c r="G86" s="1150"/>
      <c r="H86" s="1150"/>
      <c r="I86" s="1150"/>
      <c r="J86" s="1151"/>
    </row>
    <row r="87" spans="1:10" s="121" customFormat="1" ht="11.25" customHeight="1">
      <c r="A87" s="183"/>
      <c r="B87" s="204"/>
      <c r="C87" s="205"/>
      <c r="D87" s="205"/>
      <c r="E87" s="205"/>
      <c r="F87" s="205"/>
      <c r="G87" s="205"/>
      <c r="H87" s="205"/>
      <c r="I87" s="205"/>
      <c r="J87" s="1087"/>
    </row>
    <row r="88" spans="1:10" s="121" customFormat="1" ht="15" customHeight="1">
      <c r="A88" s="1567" t="s">
        <v>268</v>
      </c>
      <c r="B88" s="1567"/>
      <c r="C88" s="1567"/>
      <c r="D88" s="1568" t="s">
        <v>269</v>
      </c>
      <c r="E88" s="1568"/>
      <c r="F88" s="1568"/>
      <c r="G88" s="1568"/>
      <c r="H88" s="1568"/>
      <c r="I88" s="1568"/>
      <c r="J88" s="1569"/>
    </row>
    <row r="89" spans="1:10" s="121" customFormat="1" ht="11.25" customHeight="1">
      <c r="A89" s="1570" t="s">
        <v>270</v>
      </c>
      <c r="B89" s="1570"/>
      <c r="C89" s="1570"/>
      <c r="D89" s="1571"/>
      <c r="E89" s="1571"/>
      <c r="F89" s="1571"/>
      <c r="G89" s="1571"/>
      <c r="H89" s="1571"/>
      <c r="I89" s="1571"/>
      <c r="J89" s="1572"/>
    </row>
    <row r="90" spans="1:10" ht="11.25">
      <c r="A90" s="185"/>
      <c r="B90" s="186"/>
      <c r="C90" s="186"/>
      <c r="D90" s="186"/>
      <c r="E90" s="186"/>
      <c r="F90" s="186"/>
      <c r="G90" s="186"/>
      <c r="H90" s="186"/>
      <c r="I90" s="186"/>
      <c r="J90" s="1088"/>
    </row>
    <row r="91" spans="1:10" s="121" customFormat="1" ht="11.25" customHeight="1">
      <c r="A91" s="1563" t="s">
        <v>271</v>
      </c>
      <c r="B91" s="1573" t="s">
        <v>272</v>
      </c>
      <c r="C91" s="1574"/>
      <c r="D91" s="1574"/>
      <c r="E91" s="1574"/>
      <c r="F91" s="1574"/>
      <c r="G91" s="1574"/>
      <c r="H91" s="1574"/>
      <c r="I91" s="1574"/>
      <c r="J91" s="1575"/>
    </row>
    <row r="92" spans="1:10" s="121" customFormat="1" ht="11.25" customHeight="1">
      <c r="A92" s="1563"/>
      <c r="B92" s="1576" t="s">
        <v>368</v>
      </c>
      <c r="C92" s="1565"/>
      <c r="D92" s="1565"/>
      <c r="E92" s="1565"/>
      <c r="F92" s="1565"/>
      <c r="G92" s="1564" t="s">
        <v>551</v>
      </c>
      <c r="H92" s="1565"/>
      <c r="I92" s="1565"/>
      <c r="J92" s="1566"/>
    </row>
    <row r="93" spans="1:15" s="121" customFormat="1" ht="11.25" customHeight="1">
      <c r="A93" s="212" t="s">
        <v>273</v>
      </c>
      <c r="B93" s="1530"/>
      <c r="C93" s="1531"/>
      <c r="D93" s="1531"/>
      <c r="E93" s="1531"/>
      <c r="F93" s="1531"/>
      <c r="G93" s="1507"/>
      <c r="H93" s="1508"/>
      <c r="I93" s="1508"/>
      <c r="J93" s="1509"/>
      <c r="L93" s="1539"/>
      <c r="M93" s="1539"/>
      <c r="N93" s="1539"/>
      <c r="O93" s="1539"/>
    </row>
    <row r="94" spans="1:15" s="121" customFormat="1" ht="11.25" customHeight="1">
      <c r="A94" s="212" t="s">
        <v>274</v>
      </c>
      <c r="B94" s="1540">
        <v>20646514.34</v>
      </c>
      <c r="C94" s="1541"/>
      <c r="D94" s="1541"/>
      <c r="E94" s="1541"/>
      <c r="F94" s="1543"/>
      <c r="G94" s="1540">
        <v>10608962.14</v>
      </c>
      <c r="H94" s="1541"/>
      <c r="I94" s="1541"/>
      <c r="J94" s="1542"/>
      <c r="L94" s="1539"/>
      <c r="M94" s="1539"/>
      <c r="N94" s="1539"/>
      <c r="O94" s="1539"/>
    </row>
    <row r="95" spans="1:15" s="121" customFormat="1" ht="11.25" customHeight="1">
      <c r="A95" s="212" t="s">
        <v>75</v>
      </c>
      <c r="B95" s="1540">
        <v>169667269.1</v>
      </c>
      <c r="C95" s="1541"/>
      <c r="D95" s="1541"/>
      <c r="E95" s="1541"/>
      <c r="F95" s="1543"/>
      <c r="G95" s="1540">
        <v>117550569.3</v>
      </c>
      <c r="H95" s="1541"/>
      <c r="I95" s="1541"/>
      <c r="J95" s="1542"/>
      <c r="L95" s="1539"/>
      <c r="M95" s="1539"/>
      <c r="N95" s="1539"/>
      <c r="O95" s="1539"/>
    </row>
    <row r="96" spans="1:10" s="121" customFormat="1" ht="11.25" customHeight="1">
      <c r="A96" s="212" t="s">
        <v>275</v>
      </c>
      <c r="B96" s="1530"/>
      <c r="C96" s="1531"/>
      <c r="D96" s="1531"/>
      <c r="E96" s="1531"/>
      <c r="F96" s="1532"/>
      <c r="G96" s="1507"/>
      <c r="H96" s="1508"/>
      <c r="I96" s="1508"/>
      <c r="J96" s="1509"/>
    </row>
    <row r="97" spans="1:9" ht="11.25">
      <c r="A97" s="185"/>
      <c r="B97" s="186"/>
      <c r="C97" s="186"/>
      <c r="D97" s="186"/>
      <c r="E97" s="186"/>
      <c r="F97" s="186"/>
      <c r="G97" s="186"/>
      <c r="H97" s="186"/>
      <c r="I97" s="186"/>
    </row>
    <row r="98" spans="1:9" ht="11.25">
      <c r="A98" s="185"/>
      <c r="B98" s="186"/>
      <c r="C98" s="186"/>
      <c r="D98" s="186"/>
      <c r="E98" s="186"/>
      <c r="F98" s="186"/>
      <c r="G98" s="186"/>
      <c r="H98" s="186"/>
      <c r="I98" s="186"/>
    </row>
    <row r="99" spans="1:10" ht="17.25" customHeight="1">
      <c r="A99" s="1559" t="s">
        <v>276</v>
      </c>
      <c r="B99" s="1560" t="s">
        <v>214</v>
      </c>
      <c r="C99" s="1560" t="s">
        <v>215</v>
      </c>
      <c r="D99" s="1561" t="s">
        <v>216</v>
      </c>
      <c r="E99" s="1561"/>
      <c r="F99" s="1561"/>
      <c r="G99" s="1561"/>
      <c r="H99" s="1561"/>
      <c r="I99" s="1561"/>
      <c r="J99" s="1562"/>
    </row>
    <row r="100" spans="1:10" ht="17.25" customHeight="1">
      <c r="A100" s="1559"/>
      <c r="B100" s="1560"/>
      <c r="C100" s="1560"/>
      <c r="D100" s="1560" t="s">
        <v>847</v>
      </c>
      <c r="E100" s="1560"/>
      <c r="F100" s="1560"/>
      <c r="G100" s="1560"/>
      <c r="H100" s="1500" t="s">
        <v>823</v>
      </c>
      <c r="I100" s="1501"/>
      <c r="J100" s="1502"/>
    </row>
    <row r="101" spans="1:10" ht="13.5" customHeight="1">
      <c r="A101" s="189" t="s">
        <v>277</v>
      </c>
      <c r="B101" s="681">
        <f>B102+B114+B115</f>
        <v>86178831</v>
      </c>
      <c r="C101" s="681">
        <f>C102+C114+C115</f>
        <v>86178831</v>
      </c>
      <c r="D101" s="1547">
        <f>D102+D114+D115</f>
        <v>26372824.9</v>
      </c>
      <c r="E101" s="1547"/>
      <c r="F101" s="1547"/>
      <c r="G101" s="1547"/>
      <c r="H101" s="1504">
        <f>H102+H114+I115</f>
        <v>20409143.74</v>
      </c>
      <c r="I101" s="1505"/>
      <c r="J101" s="1506"/>
    </row>
    <row r="102" spans="1:10" ht="13.5" customHeight="1">
      <c r="A102" s="190" t="s">
        <v>194</v>
      </c>
      <c r="B102" s="683">
        <f>B103+B108+B112+B113</f>
        <v>86178831</v>
      </c>
      <c r="C102" s="683">
        <f>C103+C108+C112+C113</f>
        <v>86178831</v>
      </c>
      <c r="D102" s="1547">
        <f>D103+D108+D112+D113</f>
        <v>26372824.9</v>
      </c>
      <c r="E102" s="1547"/>
      <c r="F102" s="1547"/>
      <c r="G102" s="1547"/>
      <c r="H102" s="1504">
        <f>H103+H108+H112+H113</f>
        <v>20409143.74</v>
      </c>
      <c r="I102" s="1505"/>
      <c r="J102" s="1506"/>
    </row>
    <row r="103" spans="1:10" s="202" customFormat="1" ht="13.5" customHeight="1">
      <c r="A103" s="704" t="s">
        <v>218</v>
      </c>
      <c r="B103" s="685">
        <f>B104+B105+B106+B107</f>
        <v>86178831</v>
      </c>
      <c r="C103" s="685">
        <f>C104+C105+C106+C107</f>
        <v>86178831</v>
      </c>
      <c r="D103" s="1510">
        <f>D104+D105+D106+D107</f>
        <v>26372824.9</v>
      </c>
      <c r="E103" s="1510"/>
      <c r="F103" s="1510"/>
      <c r="G103" s="1510"/>
      <c r="H103" s="1536">
        <f>H104+H105+H106+H107</f>
        <v>20409143.74</v>
      </c>
      <c r="I103" s="1537"/>
      <c r="J103" s="1538"/>
    </row>
    <row r="104" spans="1:10" ht="3.75" customHeight="1">
      <c r="A104" s="192"/>
      <c r="B104" s="684"/>
      <c r="C104" s="683"/>
      <c r="D104" s="1556"/>
      <c r="E104" s="1556"/>
      <c r="F104" s="1556"/>
      <c r="G104" s="1556"/>
      <c r="H104" s="1133"/>
      <c r="I104" s="1557"/>
      <c r="J104" s="1558"/>
    </row>
    <row r="105" spans="1:10" ht="13.5" customHeight="1">
      <c r="A105" s="192" t="s">
        <v>278</v>
      </c>
      <c r="B105" s="683">
        <v>86178831</v>
      </c>
      <c r="C105" s="683">
        <f>B105</f>
        <v>86178831</v>
      </c>
      <c r="D105" s="1551">
        <v>26372824.9</v>
      </c>
      <c r="E105" s="1551"/>
      <c r="F105" s="1551"/>
      <c r="G105" s="1551"/>
      <c r="H105" s="1533">
        <v>20409143.74</v>
      </c>
      <c r="I105" s="1534"/>
      <c r="J105" s="1535"/>
    </row>
    <row r="106" spans="1:10" ht="13.5" customHeight="1">
      <c r="A106" s="192" t="s">
        <v>279</v>
      </c>
      <c r="B106" s="683">
        <v>0</v>
      </c>
      <c r="C106" s="683">
        <f>B106</f>
        <v>0</v>
      </c>
      <c r="D106" s="1552"/>
      <c r="E106" s="1552"/>
      <c r="F106" s="1552"/>
      <c r="G106" s="1552"/>
      <c r="H106" s="1504">
        <v>0</v>
      </c>
      <c r="I106" s="1505"/>
      <c r="J106" s="1506"/>
    </row>
    <row r="107" spans="1:10" ht="13.5" customHeight="1">
      <c r="A107" s="192" t="s">
        <v>280</v>
      </c>
      <c r="B107" s="683">
        <v>0</v>
      </c>
      <c r="C107" s="683">
        <f>B107</f>
        <v>0</v>
      </c>
      <c r="D107" s="1552">
        <v>0</v>
      </c>
      <c r="E107" s="1552"/>
      <c r="F107" s="1552"/>
      <c r="G107" s="1552"/>
      <c r="H107" s="1504">
        <v>0</v>
      </c>
      <c r="I107" s="1505"/>
      <c r="J107" s="1506"/>
    </row>
    <row r="108" spans="1:10" s="202" customFormat="1" ht="13.5" customHeight="1">
      <c r="A108" s="704" t="s">
        <v>222</v>
      </c>
      <c r="B108" s="685">
        <f>B109+B110+B111</f>
        <v>0</v>
      </c>
      <c r="C108" s="685">
        <f>C109+C110+C111</f>
        <v>0</v>
      </c>
      <c r="D108" s="1553">
        <f>D109+D110+D111</f>
        <v>0</v>
      </c>
      <c r="E108" s="1554"/>
      <c r="F108" s="1554"/>
      <c r="G108" s="1555"/>
      <c r="H108" s="1536">
        <f>H109+H110+H111</f>
        <v>0</v>
      </c>
      <c r="I108" s="1537"/>
      <c r="J108" s="1538"/>
    </row>
    <row r="109" spans="1:10" ht="13.5" customHeight="1">
      <c r="A109" s="192" t="s">
        <v>281</v>
      </c>
      <c r="B109" s="683"/>
      <c r="C109" s="683"/>
      <c r="D109" s="1511"/>
      <c r="E109" s="1511"/>
      <c r="F109" s="1511"/>
      <c r="G109" s="1511"/>
      <c r="H109" s="1504">
        <v>0</v>
      </c>
      <c r="I109" s="1505"/>
      <c r="J109" s="1506"/>
    </row>
    <row r="110" spans="1:10" ht="13.5" customHeight="1">
      <c r="A110" s="192" t="s">
        <v>282</v>
      </c>
      <c r="B110" s="683"/>
      <c r="C110" s="683"/>
      <c r="D110" s="1511"/>
      <c r="E110" s="1511"/>
      <c r="F110" s="1511"/>
      <c r="G110" s="1511"/>
      <c r="H110" s="1504"/>
      <c r="I110" s="1505"/>
      <c r="J110" s="1506"/>
    </row>
    <row r="111" spans="1:10" ht="13.5" customHeight="1">
      <c r="A111" s="192" t="s">
        <v>283</v>
      </c>
      <c r="B111" s="683"/>
      <c r="C111" s="683"/>
      <c r="D111" s="1511"/>
      <c r="E111" s="1511"/>
      <c r="F111" s="1511"/>
      <c r="G111" s="1511"/>
      <c r="H111" s="1504"/>
      <c r="I111" s="1505"/>
      <c r="J111" s="1506"/>
    </row>
    <row r="112" spans="1:10" ht="13.5" customHeight="1">
      <c r="A112" s="191" t="s">
        <v>284</v>
      </c>
      <c r="B112" s="683"/>
      <c r="C112" s="683">
        <v>0</v>
      </c>
      <c r="D112" s="1511"/>
      <c r="E112" s="1511"/>
      <c r="F112" s="1511"/>
      <c r="G112" s="1511"/>
      <c r="H112" s="1504">
        <v>0</v>
      </c>
      <c r="I112" s="1505"/>
      <c r="J112" s="1506"/>
    </row>
    <row r="113" spans="1:10" ht="13.5" customHeight="1">
      <c r="A113" s="191" t="s">
        <v>285</v>
      </c>
      <c r="B113" s="683"/>
      <c r="C113" s="683"/>
      <c r="D113" s="1511"/>
      <c r="E113" s="1511"/>
      <c r="F113" s="1511"/>
      <c r="G113" s="1511"/>
      <c r="H113" s="1504">
        <v>0</v>
      </c>
      <c r="I113" s="1505"/>
      <c r="J113" s="1506"/>
    </row>
    <row r="114" spans="1:10" ht="13.5" customHeight="1">
      <c r="A114" s="190" t="s">
        <v>195</v>
      </c>
      <c r="B114" s="683">
        <v>0</v>
      </c>
      <c r="C114" s="683">
        <v>0</v>
      </c>
      <c r="D114" s="1511">
        <v>0</v>
      </c>
      <c r="E114" s="1511"/>
      <c r="F114" s="1511"/>
      <c r="G114" s="1511"/>
      <c r="H114" s="1504">
        <v>0</v>
      </c>
      <c r="I114" s="1505"/>
      <c r="J114" s="1506"/>
    </row>
    <row r="115" spans="1:10" ht="13.5" customHeight="1">
      <c r="A115" s="190" t="s">
        <v>205</v>
      </c>
      <c r="B115" s="683"/>
      <c r="C115" s="683"/>
      <c r="D115" s="1511"/>
      <c r="E115" s="1511"/>
      <c r="F115" s="1511"/>
      <c r="G115" s="1511"/>
      <c r="H115" s="1504"/>
      <c r="I115" s="1505"/>
      <c r="J115" s="1506"/>
    </row>
    <row r="116" spans="1:10" s="202" customFormat="1" ht="13.5" customHeight="1">
      <c r="A116" s="697" t="s">
        <v>286</v>
      </c>
      <c r="B116" s="685">
        <f>B117+B119</f>
        <v>0</v>
      </c>
      <c r="C116" s="685">
        <f>C117+C119</f>
        <v>0</v>
      </c>
      <c r="D116" s="1550">
        <f>D117+D119</f>
        <v>0</v>
      </c>
      <c r="E116" s="1550"/>
      <c r="F116" s="1550"/>
      <c r="G116" s="1550"/>
      <c r="H116" s="1536">
        <f>H117+H119</f>
        <v>0</v>
      </c>
      <c r="I116" s="1537"/>
      <c r="J116" s="1538"/>
    </row>
    <row r="117" spans="1:10" ht="13.5" customHeight="1">
      <c r="A117" s="190" t="s">
        <v>287</v>
      </c>
      <c r="B117" s="683"/>
      <c r="C117" s="683"/>
      <c r="D117" s="1547"/>
      <c r="E117" s="1547"/>
      <c r="F117" s="1547"/>
      <c r="G117" s="1547"/>
      <c r="H117" s="1504"/>
      <c r="I117" s="1505"/>
      <c r="J117" s="1506"/>
    </row>
    <row r="118" spans="1:10" ht="13.5" customHeight="1">
      <c r="A118" s="190" t="s">
        <v>230</v>
      </c>
      <c r="B118" s="683"/>
      <c r="C118" s="683"/>
      <c r="D118" s="1547"/>
      <c r="E118" s="1547"/>
      <c r="F118" s="1547"/>
      <c r="G118" s="1547"/>
      <c r="H118" s="1504"/>
      <c r="I118" s="1505"/>
      <c r="J118" s="1506"/>
    </row>
    <row r="119" spans="1:10" ht="13.5" customHeight="1">
      <c r="A119" s="190" t="s">
        <v>231</v>
      </c>
      <c r="B119" s="683"/>
      <c r="C119" s="683"/>
      <c r="D119" s="1547"/>
      <c r="E119" s="1547"/>
      <c r="F119" s="1547"/>
      <c r="G119" s="1547"/>
      <c r="H119" s="1504"/>
      <c r="I119" s="1505"/>
      <c r="J119" s="1506"/>
    </row>
    <row r="120" spans="1:10" ht="13.5" customHeight="1">
      <c r="A120" s="195" t="s">
        <v>288</v>
      </c>
      <c r="B120" s="683"/>
      <c r="C120" s="683"/>
      <c r="D120" s="1547"/>
      <c r="E120" s="1547"/>
      <c r="F120" s="1547"/>
      <c r="G120" s="1547"/>
      <c r="H120" s="1504"/>
      <c r="I120" s="1505"/>
      <c r="J120" s="1506"/>
    </row>
    <row r="121" spans="1:10" s="202" customFormat="1" ht="15.75" customHeight="1">
      <c r="A121" s="201" t="s">
        <v>289</v>
      </c>
      <c r="B121" s="685">
        <f>B101+B116-B120</f>
        <v>86178831</v>
      </c>
      <c r="C121" s="685">
        <f>C101+C116-C120</f>
        <v>86178831</v>
      </c>
      <c r="D121" s="1510">
        <f>D101+D116-D120</f>
        <v>26372824.9</v>
      </c>
      <c r="E121" s="1510"/>
      <c r="F121" s="1510"/>
      <c r="G121" s="1510"/>
      <c r="H121" s="1536">
        <f>H101+H116-H120</f>
        <v>20409143.74</v>
      </c>
      <c r="I121" s="1537"/>
      <c r="J121" s="1538"/>
    </row>
    <row r="122" spans="1:10" ht="13.5" customHeight="1">
      <c r="A122" s="214"/>
      <c r="B122" s="688"/>
      <c r="C122" s="688"/>
      <c r="D122" s="689"/>
      <c r="E122" s="689"/>
      <c r="F122" s="689"/>
      <c r="G122" s="689"/>
      <c r="H122" s="689"/>
      <c r="I122" s="689"/>
      <c r="J122" s="1089"/>
    </row>
    <row r="123" spans="1:10" ht="25.5" customHeight="1">
      <c r="A123" s="1545" t="s">
        <v>290</v>
      </c>
      <c r="B123" s="1546" t="s">
        <v>237</v>
      </c>
      <c r="C123" s="1546" t="s">
        <v>238</v>
      </c>
      <c r="D123" s="1500" t="s">
        <v>646</v>
      </c>
      <c r="E123" s="1501"/>
      <c r="F123" s="1502"/>
      <c r="G123" s="1503" t="s">
        <v>257</v>
      </c>
      <c r="H123" s="1502"/>
      <c r="I123" s="1501" t="s">
        <v>239</v>
      </c>
      <c r="J123" s="1502"/>
    </row>
    <row r="124" spans="1:10" ht="24" customHeight="1">
      <c r="A124" s="1545"/>
      <c r="B124" s="1546"/>
      <c r="C124" s="1546"/>
      <c r="D124" s="1526" t="str">
        <f>D100</f>
        <v>Até o Bimestre </v>
      </c>
      <c r="E124" s="1527"/>
      <c r="F124" s="1155" t="s">
        <v>823</v>
      </c>
      <c r="G124" s="1158" t="s">
        <v>103</v>
      </c>
      <c r="H124" s="1155" t="s">
        <v>823</v>
      </c>
      <c r="I124" s="1158" t="s">
        <v>851</v>
      </c>
      <c r="J124" s="1155" t="s">
        <v>854</v>
      </c>
    </row>
    <row r="125" spans="1:10" ht="15" customHeight="1">
      <c r="A125" s="194" t="s">
        <v>291</v>
      </c>
      <c r="B125" s="683">
        <f>B126+B127</f>
        <v>0</v>
      </c>
      <c r="C125" s="683">
        <f>C126+C127</f>
        <v>0</v>
      </c>
      <c r="D125" s="1528">
        <v>0</v>
      </c>
      <c r="E125" s="1529"/>
      <c r="F125" s="683">
        <f>F126+F127</f>
        <v>0</v>
      </c>
      <c r="G125" s="683">
        <f>G126+G127</f>
        <v>0</v>
      </c>
      <c r="H125" s="683">
        <f>H126+H127</f>
        <v>0</v>
      </c>
      <c r="I125" s="683">
        <f>I126+I127</f>
        <v>0</v>
      </c>
      <c r="J125" s="683">
        <f>J126+J127</f>
        <v>0</v>
      </c>
    </row>
    <row r="126" spans="1:10" ht="15" customHeight="1">
      <c r="A126" s="197" t="s">
        <v>242</v>
      </c>
      <c r="B126" s="683"/>
      <c r="C126" s="1154"/>
      <c r="D126" s="1528"/>
      <c r="E126" s="1529"/>
      <c r="F126" s="1068"/>
      <c r="G126" s="1068"/>
      <c r="H126" s="690"/>
      <c r="I126" s="1068">
        <v>0</v>
      </c>
      <c r="J126" s="1068"/>
    </row>
    <row r="127" spans="1:10" ht="15" customHeight="1">
      <c r="A127" s="197" t="s">
        <v>243</v>
      </c>
      <c r="B127" s="683"/>
      <c r="C127" s="1154"/>
      <c r="D127" s="1548"/>
      <c r="E127" s="1549"/>
      <c r="F127" s="1157"/>
      <c r="G127" s="1157"/>
      <c r="H127" s="688"/>
      <c r="I127" s="1068">
        <v>0</v>
      </c>
      <c r="J127" s="1068"/>
    </row>
    <row r="128" spans="1:10" ht="15" customHeight="1">
      <c r="A128" s="197" t="s">
        <v>244</v>
      </c>
      <c r="B128" s="683">
        <f>B129</f>
        <v>0</v>
      </c>
      <c r="C128" s="683">
        <f>C129</f>
        <v>0</v>
      </c>
      <c r="D128" s="1544">
        <f>D129</f>
        <v>0</v>
      </c>
      <c r="E128" s="1544"/>
      <c r="F128" s="683">
        <f>F129</f>
        <v>0</v>
      </c>
      <c r="G128" s="683">
        <f>G129</f>
        <v>0</v>
      </c>
      <c r="H128" s="683">
        <f>H129</f>
        <v>0</v>
      </c>
      <c r="I128" s="683">
        <f>I129</f>
        <v>0</v>
      </c>
      <c r="J128" s="683">
        <f>J129</f>
        <v>0</v>
      </c>
    </row>
    <row r="129" spans="1:10" ht="15" customHeight="1">
      <c r="A129" s="197" t="s">
        <v>292</v>
      </c>
      <c r="B129" s="683">
        <f>B130+B131+B132</f>
        <v>0</v>
      </c>
      <c r="C129" s="683">
        <f>C130+C131+C132</f>
        <v>0</v>
      </c>
      <c r="D129" s="1544">
        <f>D130+D131+D132</f>
        <v>0</v>
      </c>
      <c r="E129" s="1544"/>
      <c r="F129" s="683">
        <f>F130+F131+F132</f>
        <v>0</v>
      </c>
      <c r="G129" s="683">
        <f>G130+G131+G132</f>
        <v>0</v>
      </c>
      <c r="H129" s="683">
        <f>H130+H131+H132</f>
        <v>0</v>
      </c>
      <c r="I129" s="683">
        <f>I130+I131+I132</f>
        <v>0</v>
      </c>
      <c r="J129" s="683">
        <f>J130+J131+J132</f>
        <v>0</v>
      </c>
    </row>
    <row r="130" spans="1:10" ht="15" customHeight="1">
      <c r="A130" s="197" t="s">
        <v>293</v>
      </c>
      <c r="B130" s="683"/>
      <c r="C130" s="1154"/>
      <c r="D130" s="1544"/>
      <c r="E130" s="1544"/>
      <c r="F130" s="1067"/>
      <c r="G130" s="1067"/>
      <c r="H130" s="1156"/>
      <c r="I130" s="1068">
        <v>0</v>
      </c>
      <c r="J130" s="1068"/>
    </row>
    <row r="131" spans="1:10" ht="15" customHeight="1">
      <c r="A131" s="197" t="s">
        <v>294</v>
      </c>
      <c r="B131" s="683"/>
      <c r="C131" s="1154"/>
      <c r="D131" s="1544"/>
      <c r="E131" s="1544"/>
      <c r="F131" s="1067"/>
      <c r="G131" s="1067"/>
      <c r="H131" s="1156"/>
      <c r="I131" s="1068">
        <v>0</v>
      </c>
      <c r="J131" s="1068"/>
    </row>
    <row r="132" spans="1:10" ht="15" customHeight="1">
      <c r="A132" s="197" t="s">
        <v>295</v>
      </c>
      <c r="B132" s="683"/>
      <c r="C132" s="1154"/>
      <c r="D132" s="1544"/>
      <c r="E132" s="1544"/>
      <c r="F132" s="1067"/>
      <c r="G132" s="1067"/>
      <c r="H132" s="1156"/>
      <c r="I132" s="1068"/>
      <c r="J132" s="1068"/>
    </row>
    <row r="133" spans="1:10" ht="15" customHeight="1">
      <c r="A133" s="198" t="s">
        <v>296</v>
      </c>
      <c r="B133" s="685">
        <f>B125+B128</f>
        <v>0</v>
      </c>
      <c r="C133" s="1024">
        <f>C125+C128</f>
        <v>0</v>
      </c>
      <c r="D133" s="1498">
        <f>D125+D128</f>
        <v>0</v>
      </c>
      <c r="E133" s="1499"/>
      <c r="F133" s="1024">
        <f>F125+F128</f>
        <v>0</v>
      </c>
      <c r="G133" s="1024">
        <f>G125+G128</f>
        <v>0</v>
      </c>
      <c r="H133" s="1024">
        <f>H125+H128</f>
        <v>0</v>
      </c>
      <c r="I133" s="1024">
        <f>I125+I128</f>
        <v>0</v>
      </c>
      <c r="J133" s="1159">
        <f>J125+J128</f>
        <v>0</v>
      </c>
    </row>
    <row r="134" spans="1:10" ht="15.75" customHeight="1">
      <c r="A134" s="173" t="str">
        <f>'[12]Anexo VI _ RES NOM'!A43</f>
        <v>FONTE: SECRETARIA MUNICIPAL DA FAZENDA</v>
      </c>
      <c r="B134" s="174"/>
      <c r="C134" s="691"/>
      <c r="D134" s="692"/>
      <c r="E134" s="692"/>
      <c r="F134" s="692"/>
      <c r="G134" s="692"/>
      <c r="H134" s="692"/>
      <c r="I134" s="692"/>
      <c r="J134" s="692"/>
    </row>
    <row r="135" spans="1:10" ht="15.75" customHeight="1">
      <c r="A135" s="218"/>
      <c r="B135" s="217"/>
      <c r="C135" s="691"/>
      <c r="D135" s="692"/>
      <c r="E135" s="692"/>
      <c r="F135" s="692"/>
      <c r="G135" s="692"/>
      <c r="H135" s="692"/>
      <c r="I135" s="692"/>
      <c r="J135" s="692"/>
    </row>
    <row r="136" spans="1:10" ht="15.75" customHeight="1">
      <c r="A136" s="218" t="str">
        <f>'Anexo 1 _ BAL ORC'!A100</f>
        <v>  São Luís, 22 de Maio de 2015</v>
      </c>
      <c r="B136" s="213"/>
      <c r="C136" s="691"/>
      <c r="D136" s="692"/>
      <c r="E136" s="692"/>
      <c r="F136" s="692"/>
      <c r="G136" s="692"/>
      <c r="H136" s="692"/>
      <c r="I136" s="692"/>
      <c r="J136" s="692"/>
    </row>
    <row r="137" spans="1:10" ht="15.75" customHeight="1">
      <c r="A137" s="218"/>
      <c r="B137" s="213"/>
      <c r="C137" s="691"/>
      <c r="D137" s="692"/>
      <c r="E137" s="692"/>
      <c r="F137" s="692"/>
      <c r="G137" s="692"/>
      <c r="H137" s="692"/>
      <c r="I137" s="692"/>
      <c r="J137" s="692"/>
    </row>
    <row r="138" spans="1:9" ht="12.75">
      <c r="A138" s="219"/>
      <c r="B138" s="220"/>
      <c r="C138" s="221"/>
      <c r="D138" s="222"/>
      <c r="E138" s="132"/>
      <c r="F138" s="132"/>
      <c r="G138" s="132"/>
      <c r="H138" s="132"/>
      <c r="I138" s="132"/>
    </row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78" ht="12.75" customHeight="1">
      <c r="A178" s="1380"/>
    </row>
  </sheetData>
  <sheetProtection/>
  <mergeCells count="191">
    <mergeCell ref="A8:A9"/>
    <mergeCell ref="B8:B9"/>
    <mergeCell ref="A1:J1"/>
    <mergeCell ref="A2:J2"/>
    <mergeCell ref="A3:J3"/>
    <mergeCell ref="A4:J4"/>
    <mergeCell ref="A5:D5"/>
    <mergeCell ref="E7:G7"/>
    <mergeCell ref="I7:J7"/>
    <mergeCell ref="C8:C9"/>
    <mergeCell ref="D8:J8"/>
    <mergeCell ref="D9:G9"/>
    <mergeCell ref="H9:J9"/>
    <mergeCell ref="D12:G12"/>
    <mergeCell ref="D13:G13"/>
    <mergeCell ref="H12:J12"/>
    <mergeCell ref="H13:J13"/>
    <mergeCell ref="D10:G10"/>
    <mergeCell ref="D11:G11"/>
    <mergeCell ref="H10:J10"/>
    <mergeCell ref="H11:J11"/>
    <mergeCell ref="D16:G16"/>
    <mergeCell ref="D17:G17"/>
    <mergeCell ref="H16:J16"/>
    <mergeCell ref="H17:J17"/>
    <mergeCell ref="D14:E14"/>
    <mergeCell ref="I14:J14"/>
    <mergeCell ref="D15:G15"/>
    <mergeCell ref="H15:J15"/>
    <mergeCell ref="H22:J22"/>
    <mergeCell ref="D20:G20"/>
    <mergeCell ref="D21:G21"/>
    <mergeCell ref="H20:J20"/>
    <mergeCell ref="H21:J21"/>
    <mergeCell ref="D18:G18"/>
    <mergeCell ref="D19:G19"/>
    <mergeCell ref="H18:J18"/>
    <mergeCell ref="H19:J19"/>
    <mergeCell ref="D27:G27"/>
    <mergeCell ref="D28:G28"/>
    <mergeCell ref="D25:G25"/>
    <mergeCell ref="D26:G26"/>
    <mergeCell ref="D22:G22"/>
    <mergeCell ref="D23:G23"/>
    <mergeCell ref="D24:G24"/>
    <mergeCell ref="D31:G31"/>
    <mergeCell ref="D32:G32"/>
    <mergeCell ref="H31:J31"/>
    <mergeCell ref="H32:J32"/>
    <mergeCell ref="D29:G29"/>
    <mergeCell ref="D30:G30"/>
    <mergeCell ref="H29:J29"/>
    <mergeCell ref="H30:J30"/>
    <mergeCell ref="D35:G35"/>
    <mergeCell ref="D36:G36"/>
    <mergeCell ref="H35:J35"/>
    <mergeCell ref="H36:J36"/>
    <mergeCell ref="D33:G33"/>
    <mergeCell ref="D34:G34"/>
    <mergeCell ref="H33:J33"/>
    <mergeCell ref="H34:J34"/>
    <mergeCell ref="A40:A42"/>
    <mergeCell ref="B40:B42"/>
    <mergeCell ref="C40:C42"/>
    <mergeCell ref="D37:G37"/>
    <mergeCell ref="D38:G38"/>
    <mergeCell ref="H37:J37"/>
    <mergeCell ref="H38:J38"/>
    <mergeCell ref="D40:F41"/>
    <mergeCell ref="G40:H41"/>
    <mergeCell ref="I40:J41"/>
    <mergeCell ref="D45:E45"/>
    <mergeCell ref="D46:E46"/>
    <mergeCell ref="D47:E47"/>
    <mergeCell ref="D42:E42"/>
    <mergeCell ref="D43:E43"/>
    <mergeCell ref="D44:E44"/>
    <mergeCell ref="D51:E51"/>
    <mergeCell ref="D52:E52"/>
    <mergeCell ref="D53:E53"/>
    <mergeCell ref="D48:E48"/>
    <mergeCell ref="D49:E49"/>
    <mergeCell ref="D50:E50"/>
    <mergeCell ref="D57:E57"/>
    <mergeCell ref="D58:E58"/>
    <mergeCell ref="D59:E59"/>
    <mergeCell ref="D54:E54"/>
    <mergeCell ref="D55:E55"/>
    <mergeCell ref="D56:E56"/>
    <mergeCell ref="A73:D73"/>
    <mergeCell ref="G73:J73"/>
    <mergeCell ref="G74:I74"/>
    <mergeCell ref="A75:A77"/>
    <mergeCell ref="D62:E62"/>
    <mergeCell ref="A63:J63"/>
    <mergeCell ref="A69:J69"/>
    <mergeCell ref="A70:J70"/>
    <mergeCell ref="A71:J71"/>
    <mergeCell ref="A72:J72"/>
    <mergeCell ref="A91:A92"/>
    <mergeCell ref="G92:J92"/>
    <mergeCell ref="A88:C88"/>
    <mergeCell ref="D88:J88"/>
    <mergeCell ref="A89:C89"/>
    <mergeCell ref="D89:J89"/>
    <mergeCell ref="B91:J91"/>
    <mergeCell ref="B92:F92"/>
    <mergeCell ref="D103:G103"/>
    <mergeCell ref="D104:G104"/>
    <mergeCell ref="I104:J104"/>
    <mergeCell ref="D101:G101"/>
    <mergeCell ref="D102:G102"/>
    <mergeCell ref="A99:A100"/>
    <mergeCell ref="B99:B100"/>
    <mergeCell ref="C99:C100"/>
    <mergeCell ref="D99:J99"/>
    <mergeCell ref="D100:G100"/>
    <mergeCell ref="D105:G105"/>
    <mergeCell ref="D106:G106"/>
    <mergeCell ref="D113:G113"/>
    <mergeCell ref="D114:G114"/>
    <mergeCell ref="D109:G109"/>
    <mergeCell ref="D110:G110"/>
    <mergeCell ref="D111:G111"/>
    <mergeCell ref="D112:G112"/>
    <mergeCell ref="D107:G107"/>
    <mergeCell ref="D108:G108"/>
    <mergeCell ref="H107:J107"/>
    <mergeCell ref="H108:J108"/>
    <mergeCell ref="H109:J109"/>
    <mergeCell ref="H110:J110"/>
    <mergeCell ref="H115:J115"/>
    <mergeCell ref="D116:G116"/>
    <mergeCell ref="H113:J113"/>
    <mergeCell ref="D127:E127"/>
    <mergeCell ref="H120:J120"/>
    <mergeCell ref="D126:E126"/>
    <mergeCell ref="H121:J121"/>
    <mergeCell ref="H112:J112"/>
    <mergeCell ref="H114:J114"/>
    <mergeCell ref="A123:A124"/>
    <mergeCell ref="B123:B124"/>
    <mergeCell ref="C123:C124"/>
    <mergeCell ref="D119:G119"/>
    <mergeCell ref="D120:G120"/>
    <mergeCell ref="H116:J116"/>
    <mergeCell ref="D117:G117"/>
    <mergeCell ref="D118:G118"/>
    <mergeCell ref="H117:J117"/>
    <mergeCell ref="H118:J118"/>
    <mergeCell ref="D133:E133"/>
    <mergeCell ref="D132:E132"/>
    <mergeCell ref="D129:E129"/>
    <mergeCell ref="D130:E130"/>
    <mergeCell ref="D128:E128"/>
    <mergeCell ref="D131:E131"/>
    <mergeCell ref="L95:O95"/>
    <mergeCell ref="L93:O93"/>
    <mergeCell ref="L94:O94"/>
    <mergeCell ref="B93:F93"/>
    <mergeCell ref="G93:J93"/>
    <mergeCell ref="G94:J94"/>
    <mergeCell ref="G95:J95"/>
    <mergeCell ref="B94:F94"/>
    <mergeCell ref="B95:F95"/>
    <mergeCell ref="B75:J77"/>
    <mergeCell ref="D60:E60"/>
    <mergeCell ref="D124:E124"/>
    <mergeCell ref="D125:E125"/>
    <mergeCell ref="B96:F96"/>
    <mergeCell ref="H105:J105"/>
    <mergeCell ref="H106:J106"/>
    <mergeCell ref="H119:J119"/>
    <mergeCell ref="H111:J111"/>
    <mergeCell ref="H103:J103"/>
    <mergeCell ref="H23:J23"/>
    <mergeCell ref="H24:J24"/>
    <mergeCell ref="H25:J25"/>
    <mergeCell ref="H26:J26"/>
    <mergeCell ref="H27:J27"/>
    <mergeCell ref="H28:J28"/>
    <mergeCell ref="D61:E61"/>
    <mergeCell ref="D123:F123"/>
    <mergeCell ref="G123:H123"/>
    <mergeCell ref="I123:J123"/>
    <mergeCell ref="H100:J100"/>
    <mergeCell ref="H101:J101"/>
    <mergeCell ref="H102:J102"/>
    <mergeCell ref="G96:J96"/>
    <mergeCell ref="D121:G121"/>
    <mergeCell ref="D115:G115"/>
  </mergeCells>
  <printOptions horizontalCentered="1"/>
  <pageMargins left="0.2902777777777778" right="0.27569444444444446" top="0.6298611111111111" bottom="0.39375" header="0.5118055555555556" footer="0.5118055555555556"/>
  <pageSetup fitToHeight="0" fitToWidth="1" horizontalDpi="600" verticalDpi="600" orientation="portrait" paperSize="9" scale="64" r:id="rId2"/>
  <rowBreaks count="1" manualBreakCount="1">
    <brk id="67" max="255" man="1"/>
  </rowBreaks>
  <ignoredErrors>
    <ignoredError sqref="C56 C52 G6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9"/>
  <sheetViews>
    <sheetView showGridLines="0" tabSelected="1" zoomScaleSheetLayoutView="100" zoomScalePageLayoutView="0" workbookViewId="0" topLeftCell="A3">
      <selection activeCell="F12" sqref="F12:G12"/>
    </sheetView>
  </sheetViews>
  <sheetFormatPr defaultColWidth="7.8515625" defaultRowHeight="12.75"/>
  <cols>
    <col min="1" max="1" width="47.8515625" style="121" customWidth="1"/>
    <col min="2" max="2" width="10.28125" style="121" customWidth="1"/>
    <col min="3" max="3" width="14.421875" style="121" customWidth="1"/>
    <col min="4" max="4" width="14.57421875" style="183" customWidth="1"/>
    <col min="5" max="5" width="9.140625" style="183" customWidth="1"/>
    <col min="6" max="6" width="13.7109375" style="121" customWidth="1"/>
    <col min="7" max="7" width="9.421875" style="121" customWidth="1"/>
    <col min="8" max="8" width="0" style="122" hidden="1" customWidth="1"/>
    <col min="9" max="9" width="7.8515625" style="122" customWidth="1"/>
    <col min="10" max="10" width="13.57421875" style="122" bestFit="1" customWidth="1"/>
    <col min="11" max="11" width="11.28125" style="122" bestFit="1" customWidth="1"/>
    <col min="12" max="16384" width="7.8515625" style="122" customWidth="1"/>
  </cols>
  <sheetData>
    <row r="1" spans="1:9" ht="12.75" customHeight="1">
      <c r="A1" s="1582" t="s">
        <v>182</v>
      </c>
      <c r="B1" s="1582"/>
      <c r="C1" s="1582"/>
      <c r="D1" s="1582"/>
      <c r="E1" s="1582"/>
      <c r="F1" s="1582"/>
      <c r="G1" s="1582"/>
      <c r="H1" s="1582"/>
      <c r="I1" s="1582"/>
    </row>
    <row r="2" spans="1:9" ht="12.75" customHeight="1">
      <c r="A2" s="1582" t="s">
        <v>0</v>
      </c>
      <c r="B2" s="1582"/>
      <c r="C2" s="1582"/>
      <c r="D2" s="1582"/>
      <c r="E2" s="1582"/>
      <c r="F2" s="1582"/>
      <c r="G2" s="1582"/>
      <c r="H2" s="1582"/>
      <c r="I2" s="1582"/>
    </row>
    <row r="3" spans="1:9" ht="12.75" customHeight="1">
      <c r="A3" s="460" t="s">
        <v>297</v>
      </c>
      <c r="B3" s="461"/>
      <c r="C3" s="461"/>
      <c r="D3" s="461"/>
      <c r="E3" s="175" t="str">
        <f>'Anexo 4 _ PREVID '!G5</f>
        <v>Publicação: Diário Oficial do Município nº 96</v>
      </c>
      <c r="F3" s="616"/>
      <c r="G3" s="616"/>
      <c r="H3" s="225"/>
      <c r="I3" s="225"/>
    </row>
    <row r="4" spans="1:9" ht="12.75" customHeight="1">
      <c r="A4" s="462" t="s">
        <v>212</v>
      </c>
      <c r="B4" s="463"/>
      <c r="C4" s="463"/>
      <c r="D4" s="463"/>
      <c r="E4" s="227" t="str">
        <f>'Anexo 4 _ PREVID '!G6</f>
        <v>Data: 22/05/2015</v>
      </c>
      <c r="F4" s="228"/>
      <c r="G4" s="228"/>
      <c r="H4" s="226"/>
      <c r="I4" s="226"/>
    </row>
    <row r="5" spans="1:12" s="232" customFormat="1" ht="15.75" customHeight="1">
      <c r="A5" s="1488" t="str">
        <f>'Anexo 1 _ BAL ORC'!A4:F4</f>
        <v>Referência: JANEIRO-ABRIL/2015; BIMESTRE: MARÇO-ABRIL/2015</v>
      </c>
      <c r="B5" s="1488"/>
      <c r="C5" s="1488"/>
      <c r="D5" s="1488"/>
      <c r="E5" s="1488"/>
      <c r="F5" s="1488"/>
      <c r="G5" s="464"/>
      <c r="H5" s="229"/>
      <c r="I5" s="229"/>
      <c r="J5" s="229"/>
      <c r="K5" s="230"/>
      <c r="L5" s="231"/>
    </row>
    <row r="6" ht="11.25">
      <c r="F6" s="380"/>
    </row>
    <row r="7" spans="1:7" ht="11.25">
      <c r="A7" s="121" t="s">
        <v>653</v>
      </c>
      <c r="D7" s="458"/>
      <c r="G7" s="400"/>
    </row>
    <row r="8" spans="1:7" ht="19.5" customHeight="1">
      <c r="A8" s="1602" t="s">
        <v>184</v>
      </c>
      <c r="B8" s="1500" t="s">
        <v>298</v>
      </c>
      <c r="C8" s="1501"/>
      <c r="D8" s="1501"/>
      <c r="E8" s="1501"/>
      <c r="F8" s="1501"/>
      <c r="G8" s="1502"/>
    </row>
    <row r="9" spans="1:7" ht="19.5" customHeight="1">
      <c r="A9" s="1602"/>
      <c r="B9" s="1603" t="s">
        <v>848</v>
      </c>
      <c r="C9" s="1603"/>
      <c r="D9" s="1604" t="s">
        <v>561</v>
      </c>
      <c r="E9" s="1604"/>
      <c r="F9" s="1605" t="s">
        <v>102</v>
      </c>
      <c r="G9" s="1606"/>
    </row>
    <row r="10" spans="1:7" ht="19.5" customHeight="1">
      <c r="A10" s="1602"/>
      <c r="B10" s="1607" t="s">
        <v>105</v>
      </c>
      <c r="C10" s="1607"/>
      <c r="D10" s="1608" t="s">
        <v>106</v>
      </c>
      <c r="E10" s="1608"/>
      <c r="F10" s="1609" t="s">
        <v>299</v>
      </c>
      <c r="G10" s="1610"/>
    </row>
    <row r="11" spans="1:7" ht="19.5" customHeight="1">
      <c r="A11" s="1384" t="s">
        <v>300</v>
      </c>
      <c r="B11" s="1611">
        <v>375087755.97</v>
      </c>
      <c r="C11" s="1612"/>
      <c r="D11" s="1611">
        <v>372575508.21</v>
      </c>
      <c r="E11" s="1612"/>
      <c r="F11" s="1613">
        <v>375296342.96</v>
      </c>
      <c r="G11" s="1614"/>
    </row>
    <row r="12" spans="1:7" ht="19.5" customHeight="1">
      <c r="A12" s="1384" t="s">
        <v>206</v>
      </c>
      <c r="B12" s="1611" t="s">
        <v>953</v>
      </c>
      <c r="C12" s="1611"/>
      <c r="D12" s="1611" t="s">
        <v>953</v>
      </c>
      <c r="E12" s="1611"/>
      <c r="F12" s="1611" t="s">
        <v>953</v>
      </c>
      <c r="G12" s="1612"/>
    </row>
    <row r="13" spans="1:10" ht="19.5" customHeight="1">
      <c r="A13" s="1384" t="s">
        <v>507</v>
      </c>
      <c r="B13" s="1611">
        <v>239281579.26</v>
      </c>
      <c r="C13" s="1612"/>
      <c r="D13" s="1611">
        <v>314695044.85</v>
      </c>
      <c r="E13" s="1612"/>
      <c r="F13" s="1611">
        <f>510162125.1-190313783.44</f>
        <v>319848341.66</v>
      </c>
      <c r="G13" s="1612"/>
      <c r="J13" s="628"/>
    </row>
    <row r="14" spans="1:10" ht="19.5" customHeight="1">
      <c r="A14" s="1384" t="s">
        <v>301</v>
      </c>
      <c r="B14" s="1615">
        <v>0</v>
      </c>
      <c r="C14" s="1615"/>
      <c r="D14" s="1615">
        <v>0</v>
      </c>
      <c r="E14" s="1615"/>
      <c r="F14" s="1615">
        <v>0</v>
      </c>
      <c r="G14" s="1616"/>
      <c r="J14" s="585"/>
    </row>
    <row r="15" spans="1:7" ht="19.5" customHeight="1">
      <c r="A15" s="1384" t="s">
        <v>652</v>
      </c>
      <c r="B15" s="1611">
        <v>529029420.9</v>
      </c>
      <c r="C15" s="1612"/>
      <c r="D15" s="1611">
        <v>482713812.24999994</v>
      </c>
      <c r="E15" s="1612"/>
      <c r="F15" s="1611">
        <f>'Anexo 7 _  RP'!F60+'Anexo 7 _  RP'!I60-'Anexo 7 _  RP'!J60-56246.19-245402.28+67802.28</f>
        <v>449993676.51</v>
      </c>
      <c r="G15" s="1612"/>
    </row>
    <row r="16" spans="1:10" s="202" customFormat="1" ht="19.5" customHeight="1">
      <c r="A16" s="1384" t="s">
        <v>302</v>
      </c>
      <c r="B16" s="1611">
        <f>B11</f>
        <v>375087755.97</v>
      </c>
      <c r="C16" s="1611"/>
      <c r="D16" s="1611">
        <f>D11</f>
        <v>372575508.21</v>
      </c>
      <c r="E16" s="1611"/>
      <c r="F16" s="1611">
        <f>F11</f>
        <v>375296342.96</v>
      </c>
      <c r="G16" s="1612"/>
      <c r="J16" s="202" t="s">
        <v>462</v>
      </c>
    </row>
    <row r="17" spans="1:7" ht="19.5" customHeight="1">
      <c r="A17" s="1384" t="s">
        <v>303</v>
      </c>
      <c r="B17" s="1615">
        <v>0</v>
      </c>
      <c r="C17" s="1615"/>
      <c r="D17" s="1615">
        <v>0</v>
      </c>
      <c r="E17" s="1615"/>
      <c r="F17" s="1615">
        <v>0</v>
      </c>
      <c r="G17" s="1616"/>
    </row>
    <row r="18" spans="1:7" ht="19.5" customHeight="1">
      <c r="A18" s="1384" t="s">
        <v>304</v>
      </c>
      <c r="B18" s="1611">
        <v>283855718.97</v>
      </c>
      <c r="C18" s="1612"/>
      <c r="D18" s="1611">
        <v>280264165.97</v>
      </c>
      <c r="E18" s="1612"/>
      <c r="F18" s="1611">
        <f>160766534.18-10354691.53</f>
        <v>150411842.65</v>
      </c>
      <c r="G18" s="1612"/>
    </row>
    <row r="19" spans="1:7" s="233" customFormat="1" ht="19.5" customHeight="1">
      <c r="A19" s="918" t="s">
        <v>305</v>
      </c>
      <c r="B19" s="1617">
        <f>B11-B18</f>
        <v>91232037</v>
      </c>
      <c r="C19" s="1617"/>
      <c r="D19" s="1617">
        <f>D11-D18</f>
        <v>92311342.23999995</v>
      </c>
      <c r="E19" s="1617"/>
      <c r="F19" s="1617">
        <f>F11-F18</f>
        <v>224884500.30999997</v>
      </c>
      <c r="G19" s="1618"/>
    </row>
    <row r="20" spans="1:7" ht="11.25" customHeight="1">
      <c r="A20" s="237"/>
      <c r="B20" s="237"/>
      <c r="C20" s="1385"/>
      <c r="D20" s="237"/>
      <c r="E20" s="237"/>
      <c r="F20" s="237"/>
      <c r="G20" s="237"/>
    </row>
    <row r="21" spans="1:7" ht="19.5" customHeight="1">
      <c r="A21" s="1602" t="s">
        <v>184</v>
      </c>
      <c r="B21" s="1619" t="s">
        <v>272</v>
      </c>
      <c r="C21" s="1619"/>
      <c r="D21" s="1619"/>
      <c r="E21" s="1619"/>
      <c r="F21" s="1619"/>
      <c r="G21" s="1620"/>
    </row>
    <row r="22" spans="1:7" ht="19.5" customHeight="1">
      <c r="A22" s="1602"/>
      <c r="B22" s="1621" t="s">
        <v>102</v>
      </c>
      <c r="C22" s="1621"/>
      <c r="D22" s="1621"/>
      <c r="E22" s="385"/>
      <c r="F22" s="312" t="s">
        <v>103</v>
      </c>
      <c r="G22" s="731"/>
    </row>
    <row r="23" spans="1:7" ht="19.5" customHeight="1">
      <c r="A23" s="1602"/>
      <c r="B23" s="1622" t="s">
        <v>306</v>
      </c>
      <c r="C23" s="1622"/>
      <c r="D23" s="1622"/>
      <c r="E23" s="465"/>
      <c r="F23" s="466" t="s">
        <v>307</v>
      </c>
      <c r="G23" s="927"/>
    </row>
    <row r="24" spans="1:11" ht="19.5" customHeight="1">
      <c r="A24" s="918" t="s">
        <v>308</v>
      </c>
      <c r="B24" s="1623">
        <f>F19-D19</f>
        <v>132573158.07000002</v>
      </c>
      <c r="C24" s="1623"/>
      <c r="D24" s="1623"/>
      <c r="E24" s="1624">
        <f>F19-B19</f>
        <v>133652463.30999997</v>
      </c>
      <c r="F24" s="1624"/>
      <c r="G24" s="1625"/>
      <c r="K24" s="585"/>
    </row>
    <row r="25" ht="9.75" customHeight="1">
      <c r="A25" s="237"/>
    </row>
    <row r="26" spans="1:7" ht="19.5" customHeight="1">
      <c r="A26" s="1626" t="s">
        <v>309</v>
      </c>
      <c r="B26" s="1627"/>
      <c r="C26" s="1627"/>
      <c r="D26" s="1627"/>
      <c r="E26" s="1628"/>
      <c r="F26" s="1632" t="s">
        <v>857</v>
      </c>
      <c r="G26" s="1633"/>
    </row>
    <row r="27" spans="1:7" ht="19.5" customHeight="1">
      <c r="A27" s="1629"/>
      <c r="B27" s="1630"/>
      <c r="C27" s="1630"/>
      <c r="D27" s="1630"/>
      <c r="E27" s="1631"/>
      <c r="F27" s="1634"/>
      <c r="G27" s="1635"/>
    </row>
    <row r="28" spans="1:7" ht="19.5" customHeight="1">
      <c r="A28" s="1636" t="s">
        <v>806</v>
      </c>
      <c r="B28" s="1637"/>
      <c r="C28" s="1637"/>
      <c r="D28" s="1637"/>
      <c r="E28" s="1638"/>
      <c r="F28" s="1642">
        <v>178316310</v>
      </c>
      <c r="G28" s="1643"/>
    </row>
    <row r="29" spans="1:7" ht="10.5" customHeight="1">
      <c r="A29" s="235"/>
      <c r="B29" s="236"/>
      <c r="C29" s="236"/>
      <c r="D29" s="468"/>
      <c r="E29" s="320"/>
      <c r="F29" s="193"/>
      <c r="G29" s="193"/>
    </row>
    <row r="30" spans="1:8" ht="19.5" customHeight="1">
      <c r="A30" s="919"/>
      <c r="B30" s="1639" t="s">
        <v>310</v>
      </c>
      <c r="C30" s="1640"/>
      <c r="D30" s="1640"/>
      <c r="E30" s="1640"/>
      <c r="F30" s="1640"/>
      <c r="G30" s="1641"/>
      <c r="H30" s="930"/>
    </row>
    <row r="31" spans="1:8" ht="19.5" customHeight="1">
      <c r="A31" s="920" t="s">
        <v>184</v>
      </c>
      <c r="B31" s="1644" t="s">
        <v>848</v>
      </c>
      <c r="C31" s="1644"/>
      <c r="D31" s="1644" t="s">
        <v>561</v>
      </c>
      <c r="E31" s="1644"/>
      <c r="F31" s="1605" t="s">
        <v>562</v>
      </c>
      <c r="G31" s="1606"/>
      <c r="H31" s="928"/>
    </row>
    <row r="32" spans="1:8" ht="19.5" customHeight="1">
      <c r="A32" s="921"/>
      <c r="B32" s="1645" t="s">
        <v>105</v>
      </c>
      <c r="C32" s="1645"/>
      <c r="D32" s="1645" t="s">
        <v>106</v>
      </c>
      <c r="E32" s="1645"/>
      <c r="F32" s="1609" t="s">
        <v>299</v>
      </c>
      <c r="G32" s="1610"/>
      <c r="H32" s="928"/>
    </row>
    <row r="33" spans="1:8" ht="19.5" customHeight="1">
      <c r="A33" s="922" t="s">
        <v>546</v>
      </c>
      <c r="B33" s="1646">
        <f>B34+B35</f>
        <v>119321378.48</v>
      </c>
      <c r="C33" s="1646"/>
      <c r="D33" s="1646">
        <f>D34+D35</f>
        <v>119321378.48</v>
      </c>
      <c r="E33" s="1646"/>
      <c r="F33" s="1647">
        <f>F34+F35</f>
        <v>119321378.48</v>
      </c>
      <c r="G33" s="1648"/>
      <c r="H33" s="928"/>
    </row>
    <row r="34" spans="1:8" ht="19.5" customHeight="1">
      <c r="A34" s="922" t="s">
        <v>543</v>
      </c>
      <c r="B34" s="1646">
        <v>119321378.48</v>
      </c>
      <c r="C34" s="1651"/>
      <c r="D34" s="1646">
        <v>119321378.48</v>
      </c>
      <c r="E34" s="1651"/>
      <c r="F34" s="1646">
        <v>119321378.48</v>
      </c>
      <c r="G34" s="1651"/>
      <c r="H34" s="928"/>
    </row>
    <row r="35" spans="1:8" ht="19.5" customHeight="1">
      <c r="A35" s="922" t="s">
        <v>544</v>
      </c>
      <c r="B35" s="1646">
        <v>0</v>
      </c>
      <c r="C35" s="1646"/>
      <c r="D35" s="1646">
        <v>0</v>
      </c>
      <c r="E35" s="1646"/>
      <c r="F35" s="1646">
        <v>0</v>
      </c>
      <c r="G35" s="1651"/>
      <c r="H35" s="928"/>
    </row>
    <row r="36" spans="1:8" s="202" customFormat="1" ht="19.5" customHeight="1">
      <c r="A36" s="923" t="s">
        <v>547</v>
      </c>
      <c r="B36" s="1649">
        <f>B37+B38+B39-B40</f>
        <v>152524304.56</v>
      </c>
      <c r="C36" s="1649"/>
      <c r="D36" s="1649">
        <f>D37+D38+D39-D40</f>
        <v>177579651.43</v>
      </c>
      <c r="E36" s="1649"/>
      <c r="F36" s="1649">
        <f>F37+F38+F39-F40</f>
        <v>190079937.25</v>
      </c>
      <c r="G36" s="1650"/>
      <c r="H36" s="929"/>
    </row>
    <row r="37" spans="1:8" ht="19.5" customHeight="1">
      <c r="A37" s="924" t="s">
        <v>542</v>
      </c>
      <c r="B37" s="1646">
        <v>4794335.71</v>
      </c>
      <c r="C37" s="1651"/>
      <c r="D37" s="1646">
        <v>18166548.8</v>
      </c>
      <c r="E37" s="1651"/>
      <c r="F37" s="1646">
        <v>20646514.34</v>
      </c>
      <c r="G37" s="1651"/>
      <c r="H37" s="928"/>
    </row>
    <row r="38" spans="1:8" ht="19.5" customHeight="1">
      <c r="A38" s="924" t="s">
        <v>311</v>
      </c>
      <c r="B38" s="1646">
        <v>147860990.48</v>
      </c>
      <c r="C38" s="1652"/>
      <c r="D38" s="1646">
        <v>159544120.91</v>
      </c>
      <c r="E38" s="1652"/>
      <c r="F38" s="1646">
        <v>169667269.1</v>
      </c>
      <c r="G38" s="1652"/>
      <c r="H38" s="928"/>
    </row>
    <row r="39" spans="1:8" ht="19.5" customHeight="1">
      <c r="A39" s="924" t="s">
        <v>545</v>
      </c>
      <c r="B39" s="1655">
        <v>0</v>
      </c>
      <c r="C39" s="1655"/>
      <c r="D39" s="1655">
        <v>0</v>
      </c>
      <c r="E39" s="1655"/>
      <c r="F39" s="1655"/>
      <c r="G39" s="1656"/>
      <c r="H39" s="928"/>
    </row>
    <row r="40" spans="1:8" ht="19.5" customHeight="1">
      <c r="A40" s="922" t="s">
        <v>312</v>
      </c>
      <c r="B40" s="1646">
        <v>131021.63</v>
      </c>
      <c r="C40" s="1652"/>
      <c r="D40" s="1646">
        <v>131018.28</v>
      </c>
      <c r="E40" s="1652"/>
      <c r="F40" s="1646">
        <f>56246.19+245402.28-67802.28</f>
        <v>233846.18999999997</v>
      </c>
      <c r="G40" s="1652"/>
      <c r="H40" s="928"/>
    </row>
    <row r="41" spans="1:8" ht="19.5" customHeight="1">
      <c r="A41" s="925" t="s">
        <v>549</v>
      </c>
      <c r="B41" s="1646">
        <f>B33-B36</f>
        <v>-33202926.08</v>
      </c>
      <c r="C41" s="1657"/>
      <c r="D41" s="1646">
        <f>D33-D36</f>
        <v>-58258272.95</v>
      </c>
      <c r="E41" s="1657"/>
      <c r="F41" s="1646">
        <f>F33-F36</f>
        <v>-70758558.77</v>
      </c>
      <c r="G41" s="1652"/>
      <c r="H41" s="928"/>
    </row>
    <row r="42" spans="1:8" ht="19.5" customHeight="1">
      <c r="A42" s="925" t="s">
        <v>548</v>
      </c>
      <c r="B42" s="1659">
        <v>0</v>
      </c>
      <c r="C42" s="1660"/>
      <c r="D42" s="1659">
        <v>0</v>
      </c>
      <c r="E42" s="1660"/>
      <c r="F42" s="1659">
        <v>0</v>
      </c>
      <c r="G42" s="1661"/>
      <c r="H42" s="928"/>
    </row>
    <row r="43" spans="1:8" ht="19.5" customHeight="1">
      <c r="A43" s="926" t="s">
        <v>550</v>
      </c>
      <c r="B43" s="1653">
        <f>B41-B42</f>
        <v>-33202926.08</v>
      </c>
      <c r="C43" s="1653"/>
      <c r="D43" s="1653">
        <f>D41-D42</f>
        <v>-58258272.95</v>
      </c>
      <c r="E43" s="1653"/>
      <c r="F43" s="1653">
        <f>F41-F42</f>
        <v>-70758558.77</v>
      </c>
      <c r="G43" s="1654"/>
      <c r="H43" s="928"/>
    </row>
    <row r="44" spans="1:11" ht="19.5" customHeight="1">
      <c r="A44" s="227" t="str">
        <f>'Anexo 4 _ PREVID '!A134</f>
        <v>FONTE: SECRETARIA MUNICIPAL DA FAZENDA</v>
      </c>
      <c r="B44" s="215"/>
      <c r="C44" s="215"/>
      <c r="D44" s="215"/>
      <c r="E44" s="215"/>
      <c r="F44" s="215"/>
      <c r="G44" s="215"/>
      <c r="J44" s="1063"/>
      <c r="K44" s="1063"/>
    </row>
    <row r="45" spans="1:11" ht="19.5" customHeight="1">
      <c r="A45" s="227" t="str">
        <f>'Anexo 4 _ PREVID '!A136</f>
        <v>  São Luís, 22 de Maio de 2015</v>
      </c>
      <c r="B45" s="215"/>
      <c r="C45" s="215"/>
      <c r="D45" s="215"/>
      <c r="E45" s="215"/>
      <c r="F45" s="215"/>
      <c r="G45" s="215"/>
      <c r="J45" s="585"/>
      <c r="K45" s="585"/>
    </row>
    <row r="46" spans="1:8" ht="12.75">
      <c r="A46" s="157"/>
      <c r="B46" s="157"/>
      <c r="C46" s="158"/>
      <c r="D46" s="158"/>
      <c r="E46" s="158"/>
      <c r="F46" s="1028"/>
      <c r="G46" s="469"/>
      <c r="H46" s="238"/>
    </row>
    <row r="47" spans="1:8" ht="12.75">
      <c r="A47" s="157"/>
      <c r="B47" s="157"/>
      <c r="C47" s="158"/>
      <c r="D47" s="158"/>
      <c r="E47" s="158"/>
      <c r="F47" s="163"/>
      <c r="G47" s="469"/>
      <c r="H47" s="238"/>
    </row>
    <row r="48" spans="1:8" s="121" customFormat="1" ht="12.75">
      <c r="A48" s="113"/>
      <c r="B48" s="113"/>
      <c r="C48" s="113"/>
      <c r="D48" s="113"/>
      <c r="E48" s="113"/>
      <c r="F48" s="113"/>
      <c r="G48" s="113"/>
      <c r="H48" s="113"/>
    </row>
    <row r="49" spans="1:8" s="121" customFormat="1" ht="12.75">
      <c r="A49" s="239"/>
      <c r="B49" s="109"/>
      <c r="C49" s="109"/>
      <c r="D49" s="1658"/>
      <c r="E49" s="1658"/>
      <c r="F49" s="1658"/>
      <c r="H49" s="180"/>
    </row>
    <row r="50" spans="4:5" ht="11.25">
      <c r="D50" s="121"/>
      <c r="E50" s="121"/>
    </row>
    <row r="51" spans="4:5" ht="11.25">
      <c r="D51" s="121"/>
      <c r="E51" s="121"/>
    </row>
    <row r="52" spans="4:5" ht="11.25">
      <c r="D52" s="121"/>
      <c r="E52" s="121"/>
    </row>
    <row r="53" spans="4:5" ht="11.25">
      <c r="D53" s="121"/>
      <c r="E53" s="121"/>
    </row>
    <row r="54" spans="4:5" ht="11.25">
      <c r="D54" s="121"/>
      <c r="E54" s="121"/>
    </row>
    <row r="55" spans="4:5" ht="11.25">
      <c r="D55" s="121"/>
      <c r="E55" s="121"/>
    </row>
    <row r="56" spans="4:5" ht="11.25">
      <c r="D56" s="121"/>
      <c r="E56" s="121"/>
    </row>
    <row r="57" spans="4:5" ht="11.25">
      <c r="D57" s="121"/>
      <c r="E57" s="121"/>
    </row>
    <row r="58" spans="4:5" ht="11.25">
      <c r="D58" s="121"/>
      <c r="E58" s="121"/>
    </row>
    <row r="59" spans="4:5" ht="11.25">
      <c r="D59" s="121"/>
      <c r="E59" s="121"/>
    </row>
  </sheetData>
  <sheetProtection/>
  <mergeCells count="89">
    <mergeCell ref="B8:G8"/>
    <mergeCell ref="B41:C41"/>
    <mergeCell ref="D41:E41"/>
    <mergeCell ref="F41:G41"/>
    <mergeCell ref="D49:F49"/>
    <mergeCell ref="B42:C42"/>
    <mergeCell ref="D42:E42"/>
    <mergeCell ref="F42:G42"/>
    <mergeCell ref="B43:C43"/>
    <mergeCell ref="D43:E43"/>
    <mergeCell ref="F43:G43"/>
    <mergeCell ref="B39:C39"/>
    <mergeCell ref="D39:E39"/>
    <mergeCell ref="F39:G39"/>
    <mergeCell ref="B40:C40"/>
    <mergeCell ref="D40:E40"/>
    <mergeCell ref="F40:G40"/>
    <mergeCell ref="F34:G34"/>
    <mergeCell ref="F35:G35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6:C36"/>
    <mergeCell ref="D36:E36"/>
    <mergeCell ref="F36:G36"/>
    <mergeCell ref="B34:C34"/>
    <mergeCell ref="B35:C35"/>
    <mergeCell ref="D34:E34"/>
    <mergeCell ref="D35:E35"/>
    <mergeCell ref="B31:C31"/>
    <mergeCell ref="D31:E31"/>
    <mergeCell ref="F31:G31"/>
    <mergeCell ref="B32:C32"/>
    <mergeCell ref="D32:E32"/>
    <mergeCell ref="F32:G32"/>
    <mergeCell ref="B24:D24"/>
    <mergeCell ref="E24:G24"/>
    <mergeCell ref="A26:E27"/>
    <mergeCell ref="F26:G27"/>
    <mergeCell ref="A28:E28"/>
    <mergeCell ref="B30:G30"/>
    <mergeCell ref="F28:G28"/>
    <mergeCell ref="B19:C19"/>
    <mergeCell ref="D19:E19"/>
    <mergeCell ref="F19:G19"/>
    <mergeCell ref="A21:A23"/>
    <mergeCell ref="B21:G21"/>
    <mergeCell ref="B22:D22"/>
    <mergeCell ref="B23:D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1:I1"/>
    <mergeCell ref="A2:I2"/>
    <mergeCell ref="A5:F5"/>
    <mergeCell ref="A8:A10"/>
    <mergeCell ref="B9:C9"/>
    <mergeCell ref="D9:E9"/>
    <mergeCell ref="F9:G9"/>
    <mergeCell ref="B10:C10"/>
    <mergeCell ref="D10:E10"/>
    <mergeCell ref="F10:G10"/>
  </mergeCells>
  <printOptions horizontalCentered="1"/>
  <pageMargins left="0.5902777777777778" right="0.5902777777777778" top="0.5902777777777778" bottom="0.39305555555555555" header="0.5118055555555556" footer="0.19652777777777777"/>
  <pageSetup fitToHeight="1" fitToWidth="1" horizontalDpi="600" verticalDpi="600" orientation="portrait" paperSize="9" scale="77" r:id="rId4"/>
  <headerFooter alignWithMargins="0">
    <oddFooter>&amp;C&amp;A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EX90"/>
  <sheetViews>
    <sheetView showGridLines="0" zoomScaleSheetLayoutView="90" zoomScalePageLayoutView="0" workbookViewId="0" topLeftCell="A49">
      <selection activeCell="D13" sqref="D13:E13"/>
    </sheetView>
  </sheetViews>
  <sheetFormatPr defaultColWidth="7.8515625" defaultRowHeight="15" customHeight="1"/>
  <cols>
    <col min="1" max="1" width="49.57421875" style="241" customWidth="1"/>
    <col min="2" max="2" width="14.28125" style="241" customWidth="1"/>
    <col min="3" max="3" width="14.7109375" style="241" customWidth="1"/>
    <col min="4" max="5" width="14.140625" style="242" customWidth="1"/>
    <col min="6" max="13" width="7.8515625" style="241" hidden="1" customWidth="1"/>
    <col min="14" max="14" width="13.8515625" style="241" customWidth="1"/>
    <col min="15" max="15" width="13.57421875" style="260" customWidth="1"/>
    <col min="16" max="16" width="12.140625" style="241" customWidth="1"/>
    <col min="17" max="19" width="7.8515625" style="241" hidden="1" customWidth="1"/>
    <col min="20" max="20" width="18.7109375" style="241" bestFit="1" customWidth="1"/>
    <col min="21" max="22" width="17.7109375" style="241" bestFit="1" customWidth="1"/>
    <col min="23" max="23" width="10.57421875" style="241" bestFit="1" customWidth="1"/>
    <col min="24" max="16384" width="7.8515625" style="241" customWidth="1"/>
  </cols>
  <sheetData>
    <row r="1" spans="1:15" s="244" customFormat="1" ht="15" customHeight="1">
      <c r="A1" s="1726" t="s">
        <v>313</v>
      </c>
      <c r="B1" s="1726"/>
      <c r="C1" s="1726"/>
      <c r="D1" s="1726"/>
      <c r="E1" s="1726"/>
      <c r="O1" s="288"/>
    </row>
    <row r="2" spans="1:15" s="244" customFormat="1" ht="15" customHeight="1">
      <c r="A2" s="1726" t="s">
        <v>0</v>
      </c>
      <c r="B2" s="1726"/>
      <c r="C2" s="1726"/>
      <c r="D2" s="1726"/>
      <c r="E2" s="1726"/>
      <c r="O2" s="288"/>
    </row>
    <row r="3" spans="1:15" s="244" customFormat="1" ht="15" customHeight="1">
      <c r="A3" s="245" t="s">
        <v>314</v>
      </c>
      <c r="B3" s="246"/>
      <c r="C3" s="246"/>
      <c r="D3" s="602" t="str">
        <f>'Anexo 5 _ RES NOM'!E3</f>
        <v>Publicação: Diário Oficial do Município nº 96</v>
      </c>
      <c r="E3" s="175"/>
      <c r="O3" s="288"/>
    </row>
    <row r="4" spans="1:15" s="244" customFormat="1" ht="15" customHeight="1">
      <c r="A4" s="243" t="s">
        <v>2</v>
      </c>
      <c r="B4" s="247"/>
      <c r="C4" s="247"/>
      <c r="D4" s="228" t="str">
        <f>'Anexo 5 _ RES NOM'!E4</f>
        <v>Data: 22/05/2015</v>
      </c>
      <c r="E4" s="175"/>
      <c r="O4" s="288"/>
    </row>
    <row r="5" spans="1:15" s="232" customFormat="1" ht="15.75" customHeight="1">
      <c r="A5" s="248" t="str">
        <f>'Anexo 5 _ RES NOM'!A5</f>
        <v>Referência: JANEIRO-ABRIL/2015; BIMESTRE: MARÇO-ABRIL/2015</v>
      </c>
      <c r="B5" s="249"/>
      <c r="C5" s="249"/>
      <c r="D5" s="249"/>
      <c r="E5" s="829"/>
      <c r="O5" s="476"/>
    </row>
    <row r="6" spans="1:5" ht="15" customHeight="1">
      <c r="A6" s="250"/>
      <c r="B6" s="250"/>
      <c r="C6" s="250"/>
      <c r="D6" s="251"/>
      <c r="E6" s="1071"/>
    </row>
    <row r="7" spans="1:5" ht="15" customHeight="1">
      <c r="A7" s="252" t="s">
        <v>654</v>
      </c>
      <c r="B7" s="253"/>
      <c r="C7" s="253"/>
      <c r="D7" s="470"/>
      <c r="E7" s="1072"/>
    </row>
    <row r="8" spans="1:22" ht="15" customHeight="1">
      <c r="A8" s="1727" t="s">
        <v>315</v>
      </c>
      <c r="B8" s="1720" t="s">
        <v>316</v>
      </c>
      <c r="C8" s="1721"/>
      <c r="D8" s="1701" t="s">
        <v>216</v>
      </c>
      <c r="E8" s="1676"/>
      <c r="F8" s="1676"/>
      <c r="G8" s="1676"/>
      <c r="H8" s="1676"/>
      <c r="I8" s="1676"/>
      <c r="J8" s="1676"/>
      <c r="K8" s="1676"/>
      <c r="L8" s="1676"/>
      <c r="M8" s="1676"/>
      <c r="N8" s="1676"/>
      <c r="O8" s="1676"/>
      <c r="P8" s="1677"/>
      <c r="T8" s="540"/>
      <c r="V8" s="542"/>
    </row>
    <row r="9" spans="1:21" ht="15" customHeight="1">
      <c r="A9" s="1727"/>
      <c r="B9" s="1722"/>
      <c r="C9" s="1723"/>
      <c r="D9" s="1701" t="s">
        <v>103</v>
      </c>
      <c r="E9" s="1677"/>
      <c r="F9" s="1165"/>
      <c r="G9" s="1165"/>
      <c r="H9" s="1165"/>
      <c r="I9" s="1165"/>
      <c r="J9" s="1165"/>
      <c r="K9" s="1165"/>
      <c r="L9" s="1165"/>
      <c r="M9" s="1165"/>
      <c r="N9" s="1676" t="s">
        <v>858</v>
      </c>
      <c r="O9" s="1676"/>
      <c r="P9" s="1677"/>
      <c r="U9" s="540"/>
    </row>
    <row r="10" spans="1:21" ht="15" customHeight="1">
      <c r="A10" s="255" t="s">
        <v>317</v>
      </c>
      <c r="B10" s="1724">
        <f>B11+B17+B20+B23+B28</f>
        <v>2438861583.13</v>
      </c>
      <c r="C10" s="1725"/>
      <c r="D10" s="1699">
        <f>D11+D17+D20+D23+D28</f>
        <v>757935534.85</v>
      </c>
      <c r="E10" s="1700"/>
      <c r="N10" s="1702">
        <f>N11+N17+N20+N23+N28</f>
        <v>749328263.65</v>
      </c>
      <c r="O10" s="1703"/>
      <c r="P10" s="1704"/>
      <c r="T10" s="543"/>
      <c r="U10" s="542"/>
    </row>
    <row r="11" spans="1:20" ht="15" customHeight="1">
      <c r="A11" s="535" t="s">
        <v>554</v>
      </c>
      <c r="B11" s="1666">
        <f>B12+B13+B14+B15+B16</f>
        <v>652506865</v>
      </c>
      <c r="C11" s="1675"/>
      <c r="D11" s="1699">
        <f>D12+D13+D14+D15+D16</f>
        <v>173817989.71</v>
      </c>
      <c r="E11" s="1700"/>
      <c r="N11" s="1666">
        <f>N12+N13+N14+N15+N16</f>
        <v>147352206.25000003</v>
      </c>
      <c r="O11" s="1667"/>
      <c r="P11" s="1668"/>
      <c r="T11" s="540"/>
    </row>
    <row r="12" spans="1:154" s="388" customFormat="1" ht="15" customHeight="1">
      <c r="A12" s="256" t="s">
        <v>318</v>
      </c>
      <c r="B12" s="1669">
        <f>'Anexo 3 _ RCL'!Q12</f>
        <v>51278597</v>
      </c>
      <c r="C12" s="1674"/>
      <c r="D12" s="1690">
        <f>693862.85-13275.33</f>
        <v>680587.52</v>
      </c>
      <c r="E12" s="1691"/>
      <c r="N12" s="1669">
        <v>44067.7</v>
      </c>
      <c r="O12" s="1670"/>
      <c r="P12" s="1671"/>
      <c r="Q12" s="720"/>
      <c r="R12" s="720"/>
      <c r="S12" s="720"/>
      <c r="T12" s="721"/>
      <c r="U12" s="721"/>
      <c r="V12" s="721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0"/>
      <c r="AJ12" s="720"/>
      <c r="AK12" s="720"/>
      <c r="AL12" s="720"/>
      <c r="AM12" s="720"/>
      <c r="AN12" s="720"/>
      <c r="AO12" s="720"/>
      <c r="AP12" s="720"/>
      <c r="AQ12" s="720"/>
      <c r="AR12" s="720"/>
      <c r="AS12" s="720"/>
      <c r="AT12" s="720"/>
      <c r="AU12" s="720"/>
      <c r="AV12" s="720"/>
      <c r="AW12" s="720"/>
      <c r="AX12" s="720"/>
      <c r="AY12" s="720"/>
      <c r="AZ12" s="720"/>
      <c r="BA12" s="720"/>
      <c r="BB12" s="720"/>
      <c r="BC12" s="720"/>
      <c r="BD12" s="720"/>
      <c r="BE12" s="720"/>
      <c r="BF12" s="720"/>
      <c r="BG12" s="720"/>
      <c r="BH12" s="720"/>
      <c r="BI12" s="720"/>
      <c r="BJ12" s="720"/>
      <c r="BK12" s="720"/>
      <c r="BL12" s="720"/>
      <c r="BM12" s="720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20"/>
      <c r="CV12" s="720"/>
      <c r="CW12" s="720"/>
      <c r="CX12" s="720"/>
      <c r="CY12" s="720"/>
      <c r="CZ12" s="720"/>
      <c r="DA12" s="720"/>
      <c r="DB12" s="720"/>
      <c r="DC12" s="720"/>
      <c r="DD12" s="720"/>
      <c r="DE12" s="720"/>
      <c r="DF12" s="720"/>
      <c r="DG12" s="720"/>
      <c r="DH12" s="720"/>
      <c r="DI12" s="720"/>
      <c r="DJ12" s="720"/>
      <c r="DK12" s="720"/>
      <c r="DL12" s="720"/>
      <c r="DM12" s="720"/>
      <c r="DN12" s="720"/>
      <c r="DO12" s="720"/>
      <c r="DP12" s="720"/>
      <c r="DQ12" s="720"/>
      <c r="DR12" s="720"/>
      <c r="DS12" s="720"/>
      <c r="DT12" s="720"/>
      <c r="DU12" s="720"/>
      <c r="DV12" s="720"/>
      <c r="DW12" s="720"/>
      <c r="DX12" s="720"/>
      <c r="DY12" s="720"/>
      <c r="DZ12" s="720"/>
      <c r="EA12" s="720"/>
      <c r="EB12" s="720"/>
      <c r="EC12" s="720"/>
      <c r="ED12" s="720"/>
      <c r="EE12" s="720"/>
      <c r="EF12" s="720"/>
      <c r="EG12" s="720"/>
      <c r="EH12" s="720"/>
      <c r="EI12" s="720"/>
      <c r="EJ12" s="720"/>
      <c r="EK12" s="720"/>
      <c r="EL12" s="720"/>
      <c r="EM12" s="720"/>
      <c r="EN12" s="720"/>
      <c r="EO12" s="720"/>
      <c r="EP12" s="720"/>
      <c r="EQ12" s="720"/>
      <c r="ER12" s="720"/>
      <c r="ES12" s="720"/>
      <c r="ET12" s="720"/>
      <c r="EU12" s="720"/>
      <c r="EV12" s="720"/>
      <c r="EW12" s="720"/>
      <c r="EX12" s="720"/>
    </row>
    <row r="13" spans="1:154" s="388" customFormat="1" ht="15" customHeight="1">
      <c r="A13" s="256" t="s">
        <v>319</v>
      </c>
      <c r="B13" s="1669">
        <f>'Anexo 3 _ RCL'!Q13</f>
        <v>509804371</v>
      </c>
      <c r="C13" s="1674"/>
      <c r="D13" s="1690">
        <f>137835905.3-42131.25</f>
        <v>137793774.05</v>
      </c>
      <c r="E13" s="1691"/>
      <c r="N13" s="1669">
        <v>124182008.54</v>
      </c>
      <c r="O13" s="1670"/>
      <c r="P13" s="1671"/>
      <c r="Q13" s="720"/>
      <c r="R13" s="720"/>
      <c r="S13" s="720"/>
      <c r="T13" s="721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  <c r="AY13" s="720"/>
      <c r="AZ13" s="720"/>
      <c r="BA13" s="720"/>
      <c r="BB13" s="720"/>
      <c r="BC13" s="720"/>
      <c r="BD13" s="720"/>
      <c r="BE13" s="720"/>
      <c r="BF13" s="720"/>
      <c r="BG13" s="720"/>
      <c r="BH13" s="720"/>
      <c r="BI13" s="720"/>
      <c r="BJ13" s="720"/>
      <c r="BK13" s="720"/>
      <c r="BL13" s="720"/>
      <c r="BM13" s="720"/>
      <c r="BN13" s="720"/>
      <c r="BO13" s="720"/>
      <c r="BP13" s="720"/>
      <c r="BQ13" s="720"/>
      <c r="BR13" s="720"/>
      <c r="BS13" s="720"/>
      <c r="BT13" s="720"/>
      <c r="BU13" s="720"/>
      <c r="BV13" s="720"/>
      <c r="BW13" s="720"/>
      <c r="BX13" s="720"/>
      <c r="BY13" s="720"/>
      <c r="BZ13" s="720"/>
      <c r="CA13" s="720"/>
      <c r="CB13" s="720"/>
      <c r="CC13" s="720"/>
      <c r="CD13" s="720"/>
      <c r="CE13" s="720"/>
      <c r="CF13" s="720"/>
      <c r="CG13" s="720"/>
      <c r="CH13" s="720"/>
      <c r="CI13" s="720"/>
      <c r="CJ13" s="720"/>
      <c r="CK13" s="720"/>
      <c r="CL13" s="720"/>
      <c r="CM13" s="720"/>
      <c r="CN13" s="720"/>
      <c r="CO13" s="720"/>
      <c r="CP13" s="720"/>
      <c r="CQ13" s="720"/>
      <c r="CR13" s="720"/>
      <c r="CS13" s="720"/>
      <c r="CT13" s="720"/>
      <c r="CU13" s="720"/>
      <c r="CV13" s="720"/>
      <c r="CW13" s="720"/>
      <c r="CX13" s="720"/>
      <c r="CY13" s="720"/>
      <c r="CZ13" s="720"/>
      <c r="DA13" s="720"/>
      <c r="DB13" s="720"/>
      <c r="DC13" s="720"/>
      <c r="DD13" s="720"/>
      <c r="DE13" s="720"/>
      <c r="DF13" s="720"/>
      <c r="DG13" s="720"/>
      <c r="DH13" s="720"/>
      <c r="DI13" s="720"/>
      <c r="DJ13" s="720"/>
      <c r="DK13" s="720"/>
      <c r="DL13" s="720"/>
      <c r="DM13" s="720"/>
      <c r="DN13" s="720"/>
      <c r="DO13" s="720"/>
      <c r="DP13" s="720"/>
      <c r="DQ13" s="720"/>
      <c r="DR13" s="720"/>
      <c r="DS13" s="720"/>
      <c r="DT13" s="720"/>
      <c r="DU13" s="720"/>
      <c r="DV13" s="720"/>
      <c r="DW13" s="720"/>
      <c r="DX13" s="720"/>
      <c r="DY13" s="720"/>
      <c r="DZ13" s="720"/>
      <c r="EA13" s="720"/>
      <c r="EB13" s="720"/>
      <c r="EC13" s="720"/>
      <c r="ED13" s="720"/>
      <c r="EE13" s="720"/>
      <c r="EF13" s="720"/>
      <c r="EG13" s="720"/>
      <c r="EH13" s="720"/>
      <c r="EI13" s="720"/>
      <c r="EJ13" s="720"/>
      <c r="EK13" s="720"/>
      <c r="EL13" s="720"/>
      <c r="EM13" s="720"/>
      <c r="EN13" s="720"/>
      <c r="EO13" s="720"/>
      <c r="EP13" s="720"/>
      <c r="EQ13" s="720"/>
      <c r="ER13" s="720"/>
      <c r="ES13" s="720"/>
      <c r="ET13" s="720"/>
      <c r="EU13" s="720"/>
      <c r="EV13" s="720"/>
      <c r="EW13" s="720"/>
      <c r="EX13" s="720"/>
    </row>
    <row r="14" spans="1:154" s="388" customFormat="1" ht="15" customHeight="1">
      <c r="A14" s="256" t="s">
        <v>320</v>
      </c>
      <c r="B14" s="1669">
        <f>'Anexo 3 _ RCL'!Q14</f>
        <v>30629116</v>
      </c>
      <c r="C14" s="1674"/>
      <c r="D14" s="1690">
        <f>9794326.19-11264.52</f>
        <v>9783061.67</v>
      </c>
      <c r="E14" s="1691"/>
      <c r="N14" s="1669">
        <v>7008978.79</v>
      </c>
      <c r="O14" s="1670"/>
      <c r="P14" s="1671"/>
      <c r="Q14" s="720"/>
      <c r="R14" s="720"/>
      <c r="S14" s="720"/>
      <c r="T14" s="722"/>
      <c r="U14" s="720"/>
      <c r="V14" s="721"/>
      <c r="W14" s="720"/>
      <c r="X14" s="720"/>
      <c r="Y14" s="720"/>
      <c r="Z14" s="720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20"/>
      <c r="AT14" s="720"/>
      <c r="AU14" s="720"/>
      <c r="AV14" s="720"/>
      <c r="AW14" s="720"/>
      <c r="AX14" s="720"/>
      <c r="AY14" s="720"/>
      <c r="AZ14" s="720"/>
      <c r="BA14" s="720"/>
      <c r="BB14" s="720"/>
      <c r="BC14" s="720"/>
      <c r="BD14" s="720"/>
      <c r="BE14" s="720"/>
      <c r="BF14" s="720"/>
      <c r="BG14" s="720"/>
      <c r="BH14" s="720"/>
      <c r="BI14" s="720"/>
      <c r="BJ14" s="720"/>
      <c r="BK14" s="720"/>
      <c r="BL14" s="720"/>
      <c r="BM14" s="720"/>
      <c r="BN14" s="720"/>
      <c r="BO14" s="720"/>
      <c r="BP14" s="720"/>
      <c r="BQ14" s="720"/>
      <c r="BR14" s="720"/>
      <c r="BS14" s="720"/>
      <c r="BT14" s="720"/>
      <c r="BU14" s="720"/>
      <c r="BV14" s="720"/>
      <c r="BW14" s="720"/>
      <c r="BX14" s="720"/>
      <c r="BY14" s="720"/>
      <c r="BZ14" s="720"/>
      <c r="CA14" s="720"/>
      <c r="CB14" s="720"/>
      <c r="CC14" s="720"/>
      <c r="CD14" s="720"/>
      <c r="CE14" s="720"/>
      <c r="CF14" s="720"/>
      <c r="CG14" s="720"/>
      <c r="CH14" s="720"/>
      <c r="CI14" s="720"/>
      <c r="CJ14" s="720"/>
      <c r="CK14" s="720"/>
      <c r="CL14" s="720"/>
      <c r="CM14" s="720"/>
      <c r="CN14" s="720"/>
      <c r="CO14" s="720"/>
      <c r="CP14" s="720"/>
      <c r="CQ14" s="720"/>
      <c r="CR14" s="720"/>
      <c r="CS14" s="720"/>
      <c r="CT14" s="720"/>
      <c r="CU14" s="720"/>
      <c r="CV14" s="720"/>
      <c r="CW14" s="720"/>
      <c r="CX14" s="720"/>
      <c r="CY14" s="720"/>
      <c r="CZ14" s="720"/>
      <c r="DA14" s="720"/>
      <c r="DB14" s="720"/>
      <c r="DC14" s="720"/>
      <c r="DD14" s="720"/>
      <c r="DE14" s="720"/>
      <c r="DF14" s="720"/>
      <c r="DG14" s="720"/>
      <c r="DH14" s="720"/>
      <c r="DI14" s="720"/>
      <c r="DJ14" s="720"/>
      <c r="DK14" s="720"/>
      <c r="DL14" s="720"/>
      <c r="DM14" s="720"/>
      <c r="DN14" s="720"/>
      <c r="DO14" s="720"/>
      <c r="DP14" s="720"/>
      <c r="DQ14" s="720"/>
      <c r="DR14" s="720"/>
      <c r="DS14" s="720"/>
      <c r="DT14" s="720"/>
      <c r="DU14" s="720"/>
      <c r="DV14" s="720"/>
      <c r="DW14" s="720"/>
      <c r="DX14" s="720"/>
      <c r="DY14" s="720"/>
      <c r="DZ14" s="720"/>
      <c r="EA14" s="720"/>
      <c r="EB14" s="720"/>
      <c r="EC14" s="720"/>
      <c r="ED14" s="720"/>
      <c r="EE14" s="720"/>
      <c r="EF14" s="720"/>
      <c r="EG14" s="720"/>
      <c r="EH14" s="720"/>
      <c r="EI14" s="720"/>
      <c r="EJ14" s="720"/>
      <c r="EK14" s="720"/>
      <c r="EL14" s="720"/>
      <c r="EM14" s="720"/>
      <c r="EN14" s="720"/>
      <c r="EO14" s="720"/>
      <c r="EP14" s="720"/>
      <c r="EQ14" s="720"/>
      <c r="ER14" s="720"/>
      <c r="ES14" s="720"/>
      <c r="ET14" s="720"/>
      <c r="EU14" s="720"/>
      <c r="EV14" s="720"/>
      <c r="EW14" s="720"/>
      <c r="EX14" s="720"/>
    </row>
    <row r="15" spans="1:154" s="388" customFormat="1" ht="15" customHeight="1">
      <c r="A15" s="256" t="s">
        <v>321</v>
      </c>
      <c r="B15" s="1669">
        <f>'Anexo 3 _ RCL'!Q15</f>
        <v>43270749</v>
      </c>
      <c r="C15" s="1674"/>
      <c r="D15" s="1690">
        <f>17990867.61-4409.29</f>
        <v>17986458.32</v>
      </c>
      <c r="E15" s="1691"/>
      <c r="N15" s="1669">
        <v>8897509.54</v>
      </c>
      <c r="O15" s="1670"/>
      <c r="P15" s="1671"/>
      <c r="Q15" s="720"/>
      <c r="R15" s="720"/>
      <c r="S15" s="720"/>
      <c r="T15" s="723"/>
      <c r="U15" s="720"/>
      <c r="V15" s="721"/>
      <c r="W15" s="720"/>
      <c r="X15" s="720"/>
      <c r="Y15" s="720"/>
      <c r="Z15" s="720"/>
      <c r="AA15" s="720"/>
      <c r="AB15" s="720"/>
      <c r="AC15" s="720"/>
      <c r="AD15" s="720"/>
      <c r="AE15" s="720"/>
      <c r="AF15" s="720"/>
      <c r="AG15" s="720"/>
      <c r="AH15" s="720"/>
      <c r="AI15" s="720"/>
      <c r="AJ15" s="720"/>
      <c r="AK15" s="720"/>
      <c r="AL15" s="720"/>
      <c r="AM15" s="720"/>
      <c r="AN15" s="720"/>
      <c r="AO15" s="720"/>
      <c r="AP15" s="720"/>
      <c r="AQ15" s="720"/>
      <c r="AR15" s="720"/>
      <c r="AS15" s="720"/>
      <c r="AT15" s="720"/>
      <c r="AU15" s="720"/>
      <c r="AV15" s="720"/>
      <c r="AW15" s="720"/>
      <c r="AX15" s="720"/>
      <c r="AY15" s="720"/>
      <c r="AZ15" s="720"/>
      <c r="BA15" s="720"/>
      <c r="BB15" s="720"/>
      <c r="BC15" s="720"/>
      <c r="BD15" s="720"/>
      <c r="BE15" s="720"/>
      <c r="BF15" s="720"/>
      <c r="BG15" s="720"/>
      <c r="BH15" s="720"/>
      <c r="BI15" s="720"/>
      <c r="BJ15" s="720"/>
      <c r="BK15" s="720"/>
      <c r="BL15" s="720"/>
      <c r="BM15" s="720"/>
      <c r="BN15" s="720"/>
      <c r="BO15" s="720"/>
      <c r="BP15" s="720"/>
      <c r="BQ15" s="720"/>
      <c r="BR15" s="720"/>
      <c r="BS15" s="720"/>
      <c r="BT15" s="720"/>
      <c r="BU15" s="720"/>
      <c r="BV15" s="720"/>
      <c r="BW15" s="720"/>
      <c r="BX15" s="720"/>
      <c r="BY15" s="720"/>
      <c r="BZ15" s="720"/>
      <c r="CA15" s="720"/>
      <c r="CB15" s="720"/>
      <c r="CC15" s="720"/>
      <c r="CD15" s="720"/>
      <c r="CE15" s="720"/>
      <c r="CF15" s="720"/>
      <c r="CG15" s="720"/>
      <c r="CH15" s="720"/>
      <c r="CI15" s="720"/>
      <c r="CJ15" s="720"/>
      <c r="CK15" s="720"/>
      <c r="CL15" s="720"/>
      <c r="CM15" s="720"/>
      <c r="CN15" s="720"/>
      <c r="CO15" s="720"/>
      <c r="CP15" s="720"/>
      <c r="CQ15" s="720"/>
      <c r="CR15" s="720"/>
      <c r="CS15" s="720"/>
      <c r="CT15" s="720"/>
      <c r="CU15" s="720"/>
      <c r="CV15" s="720"/>
      <c r="CW15" s="720"/>
      <c r="CX15" s="720"/>
      <c r="CY15" s="720"/>
      <c r="CZ15" s="720"/>
      <c r="DA15" s="720"/>
      <c r="DB15" s="720"/>
      <c r="DC15" s="720"/>
      <c r="DD15" s="720"/>
      <c r="DE15" s="720"/>
      <c r="DF15" s="720"/>
      <c r="DG15" s="720"/>
      <c r="DH15" s="720"/>
      <c r="DI15" s="720"/>
      <c r="DJ15" s="720"/>
      <c r="DK15" s="720"/>
      <c r="DL15" s="720"/>
      <c r="DM15" s="720"/>
      <c r="DN15" s="720"/>
      <c r="DO15" s="720"/>
      <c r="DP15" s="720"/>
      <c r="DQ15" s="720"/>
      <c r="DR15" s="720"/>
      <c r="DS15" s="720"/>
      <c r="DT15" s="720"/>
      <c r="DU15" s="720"/>
      <c r="DV15" s="720"/>
      <c r="DW15" s="720"/>
      <c r="DX15" s="720"/>
      <c r="DY15" s="720"/>
      <c r="DZ15" s="720"/>
      <c r="EA15" s="720"/>
      <c r="EB15" s="720"/>
      <c r="EC15" s="720"/>
      <c r="ED15" s="720"/>
      <c r="EE15" s="720"/>
      <c r="EF15" s="720"/>
      <c r="EG15" s="720"/>
      <c r="EH15" s="720"/>
      <c r="EI15" s="720"/>
      <c r="EJ15" s="720"/>
      <c r="EK15" s="720"/>
      <c r="EL15" s="720"/>
      <c r="EM15" s="720"/>
      <c r="EN15" s="720"/>
      <c r="EO15" s="720"/>
      <c r="EP15" s="720"/>
      <c r="EQ15" s="720"/>
      <c r="ER15" s="720"/>
      <c r="ES15" s="720"/>
      <c r="ET15" s="720"/>
      <c r="EU15" s="720"/>
      <c r="EV15" s="720"/>
      <c r="EW15" s="720"/>
      <c r="EX15" s="720"/>
    </row>
    <row r="16" spans="1:154" s="388" customFormat="1" ht="15" customHeight="1">
      <c r="A16" s="256" t="s">
        <v>322</v>
      </c>
      <c r="B16" s="1669">
        <f>'Anexo 3 _ RCL'!Q16</f>
        <v>17524032</v>
      </c>
      <c r="C16" s="1674"/>
      <c r="D16" s="1697">
        <f>173817989.71-166243881.56</f>
        <v>7574108.150000006</v>
      </c>
      <c r="E16" s="1698"/>
      <c r="N16" s="1669">
        <v>7219641.68</v>
      </c>
      <c r="O16" s="1670"/>
      <c r="P16" s="1671"/>
      <c r="Q16" s="720"/>
      <c r="R16" s="720"/>
      <c r="S16" s="720"/>
      <c r="T16" s="720"/>
      <c r="U16" s="724"/>
      <c r="V16" s="720"/>
      <c r="W16" s="720"/>
      <c r="X16" s="720"/>
      <c r="Y16" s="720"/>
      <c r="Z16" s="720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20"/>
      <c r="AT16" s="720"/>
      <c r="AU16" s="720"/>
      <c r="AV16" s="720"/>
      <c r="AW16" s="720"/>
      <c r="AX16" s="720"/>
      <c r="AY16" s="720"/>
      <c r="AZ16" s="720"/>
      <c r="BA16" s="720"/>
      <c r="BB16" s="720"/>
      <c r="BC16" s="720"/>
      <c r="BD16" s="720"/>
      <c r="BE16" s="720"/>
      <c r="BF16" s="720"/>
      <c r="BG16" s="720"/>
      <c r="BH16" s="720"/>
      <c r="BI16" s="720"/>
      <c r="BJ16" s="720"/>
      <c r="BK16" s="720"/>
      <c r="BL16" s="720"/>
      <c r="BM16" s="720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720"/>
      <c r="CK16" s="720"/>
      <c r="CL16" s="720"/>
      <c r="CM16" s="720"/>
      <c r="CN16" s="720"/>
      <c r="CO16" s="720"/>
      <c r="CP16" s="720"/>
      <c r="CQ16" s="720"/>
      <c r="CR16" s="720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0"/>
      <c r="DE16" s="720"/>
      <c r="DF16" s="720"/>
      <c r="DG16" s="720"/>
      <c r="DH16" s="720"/>
      <c r="DI16" s="720"/>
      <c r="DJ16" s="720"/>
      <c r="DK16" s="720"/>
      <c r="DL16" s="720"/>
      <c r="DM16" s="720"/>
      <c r="DN16" s="720"/>
      <c r="DO16" s="720"/>
      <c r="DP16" s="720"/>
      <c r="DQ16" s="720"/>
      <c r="DR16" s="720"/>
      <c r="DS16" s="720"/>
      <c r="DT16" s="720"/>
      <c r="DU16" s="720"/>
      <c r="DV16" s="720"/>
      <c r="DW16" s="720"/>
      <c r="DX16" s="720"/>
      <c r="DY16" s="720"/>
      <c r="DZ16" s="720"/>
      <c r="EA16" s="720"/>
      <c r="EB16" s="720"/>
      <c r="EC16" s="720"/>
      <c r="ED16" s="720"/>
      <c r="EE16" s="720"/>
      <c r="EF16" s="720"/>
      <c r="EG16" s="720"/>
      <c r="EH16" s="720"/>
      <c r="EI16" s="720"/>
      <c r="EJ16" s="720"/>
      <c r="EK16" s="720"/>
      <c r="EL16" s="720"/>
      <c r="EM16" s="720"/>
      <c r="EN16" s="720"/>
      <c r="EO16" s="720"/>
      <c r="EP16" s="720"/>
      <c r="EQ16" s="720"/>
      <c r="ER16" s="720"/>
      <c r="ES16" s="720"/>
      <c r="ET16" s="720"/>
      <c r="EU16" s="720"/>
      <c r="EV16" s="720"/>
      <c r="EW16" s="720"/>
      <c r="EX16" s="720"/>
    </row>
    <row r="17" spans="1:154" ht="15" customHeight="1">
      <c r="A17" s="535" t="s">
        <v>555</v>
      </c>
      <c r="B17" s="1666">
        <f>B18+B19</f>
        <v>137827629</v>
      </c>
      <c r="C17" s="1675"/>
      <c r="D17" s="1699">
        <f>D18+D19</f>
        <v>46181275.480000004</v>
      </c>
      <c r="E17" s="1700"/>
      <c r="N17" s="1666">
        <f>N18+N19</f>
        <v>42396960.54</v>
      </c>
      <c r="O17" s="1667"/>
      <c r="P17" s="1668"/>
      <c r="Q17" s="720"/>
      <c r="R17" s="720"/>
      <c r="S17" s="720"/>
      <c r="T17" s="720"/>
      <c r="U17" s="721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  <c r="BB17" s="720"/>
      <c r="BC17" s="720"/>
      <c r="BD17" s="720"/>
      <c r="BE17" s="720"/>
      <c r="BF17" s="720"/>
      <c r="BG17" s="720"/>
      <c r="BH17" s="720"/>
      <c r="BI17" s="720"/>
      <c r="BJ17" s="720"/>
      <c r="BK17" s="720"/>
      <c r="BL17" s="720"/>
      <c r="BM17" s="720"/>
      <c r="BN17" s="720"/>
      <c r="BO17" s="720"/>
      <c r="BP17" s="720"/>
      <c r="BQ17" s="720"/>
      <c r="BR17" s="720"/>
      <c r="BS17" s="720"/>
      <c r="BT17" s="720"/>
      <c r="BU17" s="720"/>
      <c r="BV17" s="720"/>
      <c r="BW17" s="720"/>
      <c r="BX17" s="720"/>
      <c r="BY17" s="720"/>
      <c r="BZ17" s="720"/>
      <c r="CA17" s="720"/>
      <c r="CB17" s="720"/>
      <c r="CC17" s="720"/>
      <c r="CD17" s="720"/>
      <c r="CE17" s="720"/>
      <c r="CF17" s="720"/>
      <c r="CG17" s="720"/>
      <c r="CH17" s="720"/>
      <c r="CI17" s="720"/>
      <c r="CJ17" s="720"/>
      <c r="CK17" s="720"/>
      <c r="CL17" s="720"/>
      <c r="CM17" s="720"/>
      <c r="CN17" s="720"/>
      <c r="CO17" s="720"/>
      <c r="CP17" s="720"/>
      <c r="CQ17" s="720"/>
      <c r="CR17" s="720"/>
      <c r="CS17" s="720"/>
      <c r="CT17" s="720"/>
      <c r="CU17" s="720"/>
      <c r="CV17" s="720"/>
      <c r="CW17" s="720"/>
      <c r="CX17" s="720"/>
      <c r="CY17" s="720"/>
      <c r="CZ17" s="720"/>
      <c r="DA17" s="720"/>
      <c r="DB17" s="720"/>
      <c r="DC17" s="720"/>
      <c r="DD17" s="720"/>
      <c r="DE17" s="720"/>
      <c r="DF17" s="720"/>
      <c r="DG17" s="720"/>
      <c r="DH17" s="720"/>
      <c r="DI17" s="720"/>
      <c r="DJ17" s="720"/>
      <c r="DK17" s="720"/>
      <c r="DL17" s="720"/>
      <c r="DM17" s="720"/>
      <c r="DN17" s="720"/>
      <c r="DO17" s="720"/>
      <c r="DP17" s="720"/>
      <c r="DQ17" s="720"/>
      <c r="DR17" s="720"/>
      <c r="DS17" s="720"/>
      <c r="DT17" s="720"/>
      <c r="DU17" s="720"/>
      <c r="DV17" s="720"/>
      <c r="DW17" s="720"/>
      <c r="DX17" s="720"/>
      <c r="DY17" s="720"/>
      <c r="DZ17" s="720"/>
      <c r="EA17" s="720"/>
      <c r="EB17" s="720"/>
      <c r="EC17" s="720"/>
      <c r="ED17" s="720"/>
      <c r="EE17" s="720"/>
      <c r="EF17" s="720"/>
      <c r="EG17" s="720"/>
      <c r="EH17" s="720"/>
      <c r="EI17" s="720"/>
      <c r="EJ17" s="720"/>
      <c r="EK17" s="720"/>
      <c r="EL17" s="720"/>
      <c r="EM17" s="720"/>
      <c r="EN17" s="720"/>
      <c r="EO17" s="720"/>
      <c r="EP17" s="720"/>
      <c r="EQ17" s="720"/>
      <c r="ER17" s="720"/>
      <c r="ES17" s="720"/>
      <c r="ET17" s="720"/>
      <c r="EU17" s="720"/>
      <c r="EV17" s="720"/>
      <c r="EW17" s="720"/>
      <c r="EX17" s="720"/>
    </row>
    <row r="18" spans="1:154" s="388" customFormat="1" ht="15" customHeight="1">
      <c r="A18" s="259" t="s">
        <v>323</v>
      </c>
      <c r="B18" s="1669">
        <f>'Anexo 1 _ BAL ORC'!C16</f>
        <v>69590717</v>
      </c>
      <c r="C18" s="1674"/>
      <c r="D18" s="1690">
        <f>'Anexo 1 _ BAL ORC'!G16</f>
        <v>22794621.11</v>
      </c>
      <c r="E18" s="1691"/>
      <c r="N18" s="1669">
        <v>20431482.14</v>
      </c>
      <c r="O18" s="1670"/>
      <c r="P18" s="1671"/>
      <c r="Q18" s="720"/>
      <c r="R18" s="720"/>
      <c r="S18" s="720"/>
      <c r="T18" s="720"/>
      <c r="U18" s="721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0"/>
      <c r="AK18" s="720"/>
      <c r="AL18" s="720"/>
      <c r="AM18" s="720"/>
      <c r="AN18" s="720"/>
      <c r="AO18" s="720"/>
      <c r="AP18" s="720"/>
      <c r="AQ18" s="720"/>
      <c r="AR18" s="720"/>
      <c r="AS18" s="720"/>
      <c r="AT18" s="720"/>
      <c r="AU18" s="720"/>
      <c r="AV18" s="720"/>
      <c r="AW18" s="720"/>
      <c r="AX18" s="720"/>
      <c r="AY18" s="720"/>
      <c r="AZ18" s="720"/>
      <c r="BA18" s="720"/>
      <c r="BB18" s="720"/>
      <c r="BC18" s="720"/>
      <c r="BD18" s="720"/>
      <c r="BE18" s="720"/>
      <c r="BF18" s="720"/>
      <c r="BG18" s="720"/>
      <c r="BH18" s="720"/>
      <c r="BI18" s="720"/>
      <c r="BJ18" s="720"/>
      <c r="BK18" s="720"/>
      <c r="BL18" s="720"/>
      <c r="BM18" s="720"/>
      <c r="BN18" s="720"/>
      <c r="BO18" s="720"/>
      <c r="BP18" s="720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0"/>
      <c r="CW18" s="720"/>
      <c r="CX18" s="720"/>
      <c r="CY18" s="720"/>
      <c r="CZ18" s="720"/>
      <c r="DA18" s="720"/>
      <c r="DB18" s="720"/>
      <c r="DC18" s="720"/>
      <c r="DD18" s="720"/>
      <c r="DE18" s="720"/>
      <c r="DF18" s="720"/>
      <c r="DG18" s="720"/>
      <c r="DH18" s="720"/>
      <c r="DI18" s="720"/>
      <c r="DJ18" s="720"/>
      <c r="DK18" s="720"/>
      <c r="DL18" s="720"/>
      <c r="DM18" s="720"/>
      <c r="DN18" s="720"/>
      <c r="DO18" s="720"/>
      <c r="DP18" s="720"/>
      <c r="DQ18" s="720"/>
      <c r="DR18" s="720"/>
      <c r="DS18" s="720"/>
      <c r="DT18" s="720"/>
      <c r="DU18" s="720"/>
      <c r="DV18" s="720"/>
      <c r="DW18" s="720"/>
      <c r="DX18" s="720"/>
      <c r="DY18" s="720"/>
      <c r="DZ18" s="720"/>
      <c r="EA18" s="720"/>
      <c r="EB18" s="720"/>
      <c r="EC18" s="720"/>
      <c r="ED18" s="720"/>
      <c r="EE18" s="720"/>
      <c r="EF18" s="720"/>
      <c r="EG18" s="720"/>
      <c r="EH18" s="720"/>
      <c r="EI18" s="720"/>
      <c r="EJ18" s="720"/>
      <c r="EK18" s="720"/>
      <c r="EL18" s="720"/>
      <c r="EM18" s="720"/>
      <c r="EN18" s="720"/>
      <c r="EO18" s="720"/>
      <c r="EP18" s="720"/>
      <c r="EQ18" s="720"/>
      <c r="ER18" s="720"/>
      <c r="ES18" s="720"/>
      <c r="ET18" s="720"/>
      <c r="EU18" s="720"/>
      <c r="EV18" s="720"/>
      <c r="EW18" s="720"/>
      <c r="EX18" s="720"/>
    </row>
    <row r="19" spans="1:154" s="260" customFormat="1" ht="15" customHeight="1">
      <c r="A19" s="259" t="s">
        <v>324</v>
      </c>
      <c r="B19" s="1669">
        <f>'Anexo 1 _ BAL ORC'!C17</f>
        <v>68236912</v>
      </c>
      <c r="C19" s="1674"/>
      <c r="D19" s="1690">
        <f>'Anexo 1 _ BAL ORC'!G17</f>
        <v>23386654.37</v>
      </c>
      <c r="E19" s="1691"/>
      <c r="N19" s="1669">
        <v>21965478.4</v>
      </c>
      <c r="O19" s="1670"/>
      <c r="P19" s="1671"/>
      <c r="Q19" s="720"/>
      <c r="R19" s="720"/>
      <c r="S19" s="720"/>
      <c r="T19" s="720"/>
      <c r="U19" s="720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20"/>
      <c r="AT19" s="720"/>
      <c r="AU19" s="720"/>
      <c r="AV19" s="720"/>
      <c r="AW19" s="720"/>
      <c r="AX19" s="720"/>
      <c r="AY19" s="720"/>
      <c r="AZ19" s="720"/>
      <c r="BA19" s="720"/>
      <c r="BB19" s="720"/>
      <c r="BC19" s="720"/>
      <c r="BD19" s="720"/>
      <c r="BE19" s="720"/>
      <c r="BF19" s="720"/>
      <c r="BG19" s="720"/>
      <c r="BH19" s="720"/>
      <c r="BI19" s="720"/>
      <c r="BJ19" s="720"/>
      <c r="BK19" s="720"/>
      <c r="BL19" s="720"/>
      <c r="BM19" s="720"/>
      <c r="BN19" s="720"/>
      <c r="BO19" s="720"/>
      <c r="BP19" s="720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20"/>
      <c r="DF19" s="720"/>
      <c r="DG19" s="720"/>
      <c r="DH19" s="720"/>
      <c r="DI19" s="720"/>
      <c r="DJ19" s="720"/>
      <c r="DK19" s="720"/>
      <c r="DL19" s="720"/>
      <c r="DM19" s="720"/>
      <c r="DN19" s="720"/>
      <c r="DO19" s="720"/>
      <c r="DP19" s="720"/>
      <c r="DQ19" s="720"/>
      <c r="DR19" s="720"/>
      <c r="DS19" s="720"/>
      <c r="DT19" s="720"/>
      <c r="DU19" s="720"/>
      <c r="DV19" s="720"/>
      <c r="DW19" s="720"/>
      <c r="DX19" s="720"/>
      <c r="DY19" s="720"/>
      <c r="DZ19" s="720"/>
      <c r="EA19" s="720"/>
      <c r="EB19" s="720"/>
      <c r="EC19" s="720"/>
      <c r="ED19" s="720"/>
      <c r="EE19" s="720"/>
      <c r="EF19" s="720"/>
      <c r="EG19" s="720"/>
      <c r="EH19" s="720"/>
      <c r="EI19" s="720"/>
      <c r="EJ19" s="720"/>
      <c r="EK19" s="720"/>
      <c r="EL19" s="720"/>
      <c r="EM19" s="720"/>
      <c r="EN19" s="720"/>
      <c r="EO19" s="720"/>
      <c r="EP19" s="720"/>
      <c r="EQ19" s="720"/>
      <c r="ER19" s="720"/>
      <c r="ES19" s="720"/>
      <c r="ET19" s="720"/>
      <c r="EU19" s="720"/>
      <c r="EV19" s="720"/>
      <c r="EW19" s="720"/>
      <c r="EX19" s="720"/>
    </row>
    <row r="20" spans="1:154" s="584" customFormat="1" ht="15" customHeight="1">
      <c r="A20" s="535" t="s">
        <v>325</v>
      </c>
      <c r="B20" s="1666">
        <f>B21-B22</f>
        <v>377322</v>
      </c>
      <c r="C20" s="1668"/>
      <c r="D20" s="1705">
        <f>D21-D22</f>
        <v>1932091.83</v>
      </c>
      <c r="E20" s="1700"/>
      <c r="N20" s="1666">
        <f>N21-N22</f>
        <v>126628.16999999993</v>
      </c>
      <c r="O20" s="1667"/>
      <c r="P20" s="1668"/>
      <c r="Q20" s="725"/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725"/>
      <c r="AX20" s="725"/>
      <c r="AY20" s="725"/>
      <c r="AZ20" s="725"/>
      <c r="BA20" s="725"/>
      <c r="BB20" s="725"/>
      <c r="BC20" s="725"/>
      <c r="BD20" s="725"/>
      <c r="BE20" s="725"/>
      <c r="BF20" s="725"/>
      <c r="BG20" s="725"/>
      <c r="BH20" s="725"/>
      <c r="BI20" s="725"/>
      <c r="BJ20" s="725"/>
      <c r="BK20" s="725"/>
      <c r="BL20" s="725"/>
      <c r="BM20" s="725"/>
      <c r="BN20" s="725"/>
      <c r="BO20" s="725"/>
      <c r="BP20" s="725"/>
      <c r="BQ20" s="725"/>
      <c r="BR20" s="725"/>
      <c r="BS20" s="725"/>
      <c r="BT20" s="725"/>
      <c r="BU20" s="725"/>
      <c r="BV20" s="725"/>
      <c r="BW20" s="725"/>
      <c r="BX20" s="725"/>
      <c r="BY20" s="725"/>
      <c r="BZ20" s="725"/>
      <c r="CA20" s="725"/>
      <c r="CB20" s="725"/>
      <c r="CC20" s="725"/>
      <c r="CD20" s="725"/>
      <c r="CE20" s="725"/>
      <c r="CF20" s="725"/>
      <c r="CG20" s="725"/>
      <c r="CH20" s="725"/>
      <c r="CI20" s="725"/>
      <c r="CJ20" s="725"/>
      <c r="CK20" s="725"/>
      <c r="CL20" s="725"/>
      <c r="CM20" s="725"/>
      <c r="CN20" s="725"/>
      <c r="CO20" s="725"/>
      <c r="CP20" s="725"/>
      <c r="CQ20" s="725"/>
      <c r="CR20" s="725"/>
      <c r="CS20" s="725"/>
      <c r="CT20" s="725"/>
      <c r="CU20" s="725"/>
      <c r="CV20" s="725"/>
      <c r="CW20" s="725"/>
      <c r="CX20" s="725"/>
      <c r="CY20" s="725"/>
      <c r="CZ20" s="725"/>
      <c r="DA20" s="725"/>
      <c r="DB20" s="725"/>
      <c r="DC20" s="725"/>
      <c r="DD20" s="725"/>
      <c r="DE20" s="725"/>
      <c r="DF20" s="725"/>
      <c r="DG20" s="725"/>
      <c r="DH20" s="725"/>
      <c r="DI20" s="725"/>
      <c r="DJ20" s="725"/>
      <c r="DK20" s="725"/>
      <c r="DL20" s="725"/>
      <c r="DM20" s="725"/>
      <c r="DN20" s="725"/>
      <c r="DO20" s="725"/>
      <c r="DP20" s="725"/>
      <c r="DQ20" s="725"/>
      <c r="DR20" s="725"/>
      <c r="DS20" s="725"/>
      <c r="DT20" s="725"/>
      <c r="DU20" s="725"/>
      <c r="DV20" s="725"/>
      <c r="DW20" s="725"/>
      <c r="DX20" s="725"/>
      <c r="DY20" s="725"/>
      <c r="DZ20" s="725"/>
      <c r="EA20" s="725"/>
      <c r="EB20" s="725"/>
      <c r="EC20" s="725"/>
      <c r="ED20" s="725"/>
      <c r="EE20" s="725"/>
      <c r="EF20" s="725"/>
      <c r="EG20" s="725"/>
      <c r="EH20" s="725"/>
      <c r="EI20" s="725"/>
      <c r="EJ20" s="725"/>
      <c r="EK20" s="725"/>
      <c r="EL20" s="725"/>
      <c r="EM20" s="725"/>
      <c r="EN20" s="725"/>
      <c r="EO20" s="725"/>
      <c r="EP20" s="725"/>
      <c r="EQ20" s="725"/>
      <c r="ER20" s="725"/>
      <c r="ES20" s="725"/>
      <c r="ET20" s="725"/>
      <c r="EU20" s="725"/>
      <c r="EV20" s="725"/>
      <c r="EW20" s="725"/>
      <c r="EX20" s="725"/>
    </row>
    <row r="21" spans="1:154" ht="15" customHeight="1">
      <c r="A21" s="259" t="s">
        <v>326</v>
      </c>
      <c r="B21" s="1669">
        <f>'Anexo 1 _ BAL ORC'!C18</f>
        <v>39189925</v>
      </c>
      <c r="C21" s="1674"/>
      <c r="D21" s="1690">
        <f>'Anexo 1 _ BAL ORC'!G18</f>
        <v>11690350.11</v>
      </c>
      <c r="E21" s="1691"/>
      <c r="N21" s="1669">
        <v>9420497.91</v>
      </c>
      <c r="O21" s="1670"/>
      <c r="P21" s="1671"/>
      <c r="Q21" s="720"/>
      <c r="R21" s="720"/>
      <c r="S21" s="720"/>
      <c r="T21" s="720"/>
      <c r="U21" s="720"/>
      <c r="V21" s="723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0"/>
      <c r="AL21" s="720"/>
      <c r="AM21" s="720"/>
      <c r="AN21" s="720"/>
      <c r="AO21" s="720"/>
      <c r="AP21" s="720"/>
      <c r="AQ21" s="720"/>
      <c r="AR21" s="720"/>
      <c r="AS21" s="720"/>
      <c r="AT21" s="720"/>
      <c r="AU21" s="720"/>
      <c r="AV21" s="720"/>
      <c r="AW21" s="720"/>
      <c r="AX21" s="720"/>
      <c r="AY21" s="720"/>
      <c r="AZ21" s="720"/>
      <c r="BA21" s="720"/>
      <c r="BB21" s="720"/>
      <c r="BC21" s="720"/>
      <c r="BD21" s="720"/>
      <c r="BE21" s="720"/>
      <c r="BF21" s="720"/>
      <c r="BG21" s="720"/>
      <c r="BH21" s="720"/>
      <c r="BI21" s="720"/>
      <c r="BJ21" s="720"/>
      <c r="BK21" s="720"/>
      <c r="BL21" s="720"/>
      <c r="BM21" s="720"/>
      <c r="BN21" s="720"/>
      <c r="BO21" s="720"/>
      <c r="BP21" s="720"/>
      <c r="BQ21" s="720"/>
      <c r="BR21" s="720"/>
      <c r="BS21" s="720"/>
      <c r="BT21" s="720"/>
      <c r="BU21" s="720"/>
      <c r="BV21" s="720"/>
      <c r="BW21" s="720"/>
      <c r="BX21" s="720"/>
      <c r="BY21" s="720"/>
      <c r="BZ21" s="720"/>
      <c r="CA21" s="720"/>
      <c r="CB21" s="720"/>
      <c r="CC21" s="720"/>
      <c r="CD21" s="720"/>
      <c r="CE21" s="720"/>
      <c r="CF21" s="720"/>
      <c r="CG21" s="720"/>
      <c r="CH21" s="720"/>
      <c r="CI21" s="720"/>
      <c r="CJ21" s="720"/>
      <c r="CK21" s="720"/>
      <c r="CL21" s="720"/>
      <c r="CM21" s="720"/>
      <c r="CN21" s="720"/>
      <c r="CO21" s="720"/>
      <c r="CP21" s="720"/>
      <c r="CQ21" s="720"/>
      <c r="CR21" s="720"/>
      <c r="CS21" s="720"/>
      <c r="CT21" s="720"/>
      <c r="CU21" s="720"/>
      <c r="CV21" s="720"/>
      <c r="CW21" s="720"/>
      <c r="CX21" s="720"/>
      <c r="CY21" s="720"/>
      <c r="CZ21" s="720"/>
      <c r="DA21" s="720"/>
      <c r="DB21" s="720"/>
      <c r="DC21" s="720"/>
      <c r="DD21" s="720"/>
      <c r="DE21" s="720"/>
      <c r="DF21" s="720"/>
      <c r="DG21" s="720"/>
      <c r="DH21" s="720"/>
      <c r="DI21" s="720"/>
      <c r="DJ21" s="720"/>
      <c r="DK21" s="720"/>
      <c r="DL21" s="720"/>
      <c r="DM21" s="720"/>
      <c r="DN21" s="720"/>
      <c r="DO21" s="720"/>
      <c r="DP21" s="720"/>
      <c r="DQ21" s="720"/>
      <c r="DR21" s="720"/>
      <c r="DS21" s="720"/>
      <c r="DT21" s="720"/>
      <c r="DU21" s="720"/>
      <c r="DV21" s="720"/>
      <c r="DW21" s="720"/>
      <c r="DX21" s="720"/>
      <c r="DY21" s="720"/>
      <c r="DZ21" s="720"/>
      <c r="EA21" s="720"/>
      <c r="EB21" s="720"/>
      <c r="EC21" s="720"/>
      <c r="ED21" s="720"/>
      <c r="EE21" s="720"/>
      <c r="EF21" s="720"/>
      <c r="EG21" s="720"/>
      <c r="EH21" s="720"/>
      <c r="EI21" s="720"/>
      <c r="EJ21" s="720"/>
      <c r="EK21" s="720"/>
      <c r="EL21" s="720"/>
      <c r="EM21" s="720"/>
      <c r="EN21" s="720"/>
      <c r="EO21" s="720"/>
      <c r="EP21" s="720"/>
      <c r="EQ21" s="720"/>
      <c r="ER21" s="720"/>
      <c r="ES21" s="720"/>
      <c r="ET21" s="720"/>
      <c r="EU21" s="720"/>
      <c r="EV21" s="720"/>
      <c r="EW21" s="720"/>
      <c r="EX21" s="720"/>
    </row>
    <row r="22" spans="1:154" ht="15" customHeight="1">
      <c r="A22" s="256" t="s">
        <v>327</v>
      </c>
      <c r="B22" s="1669">
        <f>'Anexo 1 _ BAL ORC'!C20</f>
        <v>38812603</v>
      </c>
      <c r="C22" s="1674"/>
      <c r="D22" s="1690">
        <f>'Anexo 1 _ BAL ORC'!G20</f>
        <v>9758258.28</v>
      </c>
      <c r="E22" s="1691"/>
      <c r="N22" s="1669">
        <v>9293869.74</v>
      </c>
      <c r="O22" s="1670"/>
      <c r="P22" s="1671"/>
      <c r="Q22" s="720"/>
      <c r="R22" s="720"/>
      <c r="S22" s="720"/>
      <c r="T22" s="720"/>
      <c r="U22" s="720"/>
      <c r="V22" s="721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20"/>
      <c r="AT22" s="720"/>
      <c r="AU22" s="720"/>
      <c r="AV22" s="720"/>
      <c r="AW22" s="720"/>
      <c r="AX22" s="720"/>
      <c r="AY22" s="720"/>
      <c r="AZ22" s="720"/>
      <c r="BA22" s="720"/>
      <c r="BB22" s="720"/>
      <c r="BC22" s="720"/>
      <c r="BD22" s="720"/>
      <c r="BE22" s="720"/>
      <c r="BF22" s="720"/>
      <c r="BG22" s="720"/>
      <c r="BH22" s="720"/>
      <c r="BI22" s="720"/>
      <c r="BJ22" s="720"/>
      <c r="BK22" s="720"/>
      <c r="BL22" s="720"/>
      <c r="BM22" s="720"/>
      <c r="BN22" s="720"/>
      <c r="BO22" s="720"/>
      <c r="BP22" s="720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720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0"/>
      <c r="CZ22" s="720"/>
      <c r="DA22" s="720"/>
      <c r="DB22" s="720"/>
      <c r="DC22" s="720"/>
      <c r="DD22" s="720"/>
      <c r="DE22" s="720"/>
      <c r="DF22" s="720"/>
      <c r="DG22" s="720"/>
      <c r="DH22" s="720"/>
      <c r="DI22" s="720"/>
      <c r="DJ22" s="720"/>
      <c r="DK22" s="720"/>
      <c r="DL22" s="720"/>
      <c r="DM22" s="720"/>
      <c r="DN22" s="720"/>
      <c r="DO22" s="720"/>
      <c r="DP22" s="720"/>
      <c r="DQ22" s="720"/>
      <c r="DR22" s="720"/>
      <c r="DS22" s="720"/>
      <c r="DT22" s="720"/>
      <c r="DU22" s="720"/>
      <c r="DV22" s="720"/>
      <c r="DW22" s="720"/>
      <c r="DX22" s="720"/>
      <c r="DY22" s="720"/>
      <c r="DZ22" s="720"/>
      <c r="EA22" s="720"/>
      <c r="EB22" s="720"/>
      <c r="EC22" s="720"/>
      <c r="ED22" s="720"/>
      <c r="EE22" s="720"/>
      <c r="EF22" s="720"/>
      <c r="EG22" s="720"/>
      <c r="EH22" s="720"/>
      <c r="EI22" s="720"/>
      <c r="EJ22" s="720"/>
      <c r="EK22" s="720"/>
      <c r="EL22" s="720"/>
      <c r="EM22" s="720"/>
      <c r="EN22" s="720"/>
      <c r="EO22" s="720"/>
      <c r="EP22" s="720"/>
      <c r="EQ22" s="720"/>
      <c r="ER22" s="720"/>
      <c r="ES22" s="720"/>
      <c r="ET22" s="720"/>
      <c r="EU22" s="720"/>
      <c r="EV22" s="720"/>
      <c r="EW22" s="720"/>
      <c r="EX22" s="720"/>
    </row>
    <row r="23" spans="1:154" s="265" customFormat="1" ht="15" customHeight="1">
      <c r="A23" s="535" t="s">
        <v>196</v>
      </c>
      <c r="B23" s="1666">
        <f>B24+B25+B26+B27</f>
        <v>1584541986.13</v>
      </c>
      <c r="C23" s="1675"/>
      <c r="D23" s="1699">
        <f>D24+D25+D26+D27</f>
        <v>512831481.0400001</v>
      </c>
      <c r="E23" s="1700"/>
      <c r="N23" s="1666">
        <f>N24+N25+N26+N27</f>
        <v>541699801.76</v>
      </c>
      <c r="O23" s="1667"/>
      <c r="P23" s="1668"/>
      <c r="Q23" s="725"/>
      <c r="R23" s="725"/>
      <c r="S23" s="725"/>
      <c r="T23" s="726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5"/>
      <c r="BM23" s="725"/>
      <c r="BN23" s="725"/>
      <c r="BO23" s="725"/>
      <c r="BP23" s="725"/>
      <c r="BQ23" s="725"/>
      <c r="BR23" s="725"/>
      <c r="BS23" s="725"/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5"/>
      <c r="CI23" s="725"/>
      <c r="CJ23" s="725"/>
      <c r="CK23" s="725"/>
      <c r="CL23" s="725"/>
      <c r="CM23" s="725"/>
      <c r="CN23" s="725"/>
      <c r="CO23" s="725"/>
      <c r="CP23" s="725"/>
      <c r="CQ23" s="725"/>
      <c r="CR23" s="725"/>
      <c r="CS23" s="725"/>
      <c r="CT23" s="725"/>
      <c r="CU23" s="725"/>
      <c r="CV23" s="725"/>
      <c r="CW23" s="725"/>
      <c r="CX23" s="725"/>
      <c r="CY23" s="725"/>
      <c r="CZ23" s="725"/>
      <c r="DA23" s="725"/>
      <c r="DB23" s="725"/>
      <c r="DC23" s="725"/>
      <c r="DD23" s="725"/>
      <c r="DE23" s="725"/>
      <c r="DF23" s="725"/>
      <c r="DG23" s="725"/>
      <c r="DH23" s="725"/>
      <c r="DI23" s="725"/>
      <c r="DJ23" s="725"/>
      <c r="DK23" s="725"/>
      <c r="DL23" s="725"/>
      <c r="DM23" s="725"/>
      <c r="DN23" s="725"/>
      <c r="DO23" s="725"/>
      <c r="DP23" s="725"/>
      <c r="DQ23" s="725"/>
      <c r="DR23" s="725"/>
      <c r="DS23" s="725"/>
      <c r="DT23" s="725"/>
      <c r="DU23" s="725"/>
      <c r="DV23" s="725"/>
      <c r="DW23" s="725"/>
      <c r="DX23" s="725"/>
      <c r="DY23" s="725"/>
      <c r="DZ23" s="725"/>
      <c r="EA23" s="725"/>
      <c r="EB23" s="725"/>
      <c r="EC23" s="725"/>
      <c r="ED23" s="725"/>
      <c r="EE23" s="725"/>
      <c r="EF23" s="725"/>
      <c r="EG23" s="725"/>
      <c r="EH23" s="725"/>
      <c r="EI23" s="725"/>
      <c r="EJ23" s="725"/>
      <c r="EK23" s="725"/>
      <c r="EL23" s="725"/>
      <c r="EM23" s="725"/>
      <c r="EN23" s="725"/>
      <c r="EO23" s="725"/>
      <c r="EP23" s="725"/>
      <c r="EQ23" s="725"/>
      <c r="ER23" s="725"/>
      <c r="ES23" s="725"/>
      <c r="ET23" s="725"/>
      <c r="EU23" s="725"/>
      <c r="EV23" s="725"/>
      <c r="EW23" s="725"/>
      <c r="EX23" s="725"/>
    </row>
    <row r="24" spans="1:154" s="388" customFormat="1" ht="15" customHeight="1">
      <c r="A24" s="256" t="s">
        <v>328</v>
      </c>
      <c r="B24" s="1669">
        <f>'Anexo 3 _ RCL'!Q21</f>
        <v>559790291</v>
      </c>
      <c r="C24" s="1674"/>
      <c r="D24" s="1690">
        <f>153108383.26-30621676.53</f>
        <v>122486706.72999999</v>
      </c>
      <c r="E24" s="1691"/>
      <c r="N24" s="1669">
        <v>145363902.49</v>
      </c>
      <c r="O24" s="1670"/>
      <c r="P24" s="1671"/>
      <c r="Q24" s="720"/>
      <c r="R24" s="720"/>
      <c r="S24" s="720"/>
      <c r="T24" s="722"/>
      <c r="U24" s="720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720"/>
      <c r="AY24" s="720"/>
      <c r="AZ24" s="720"/>
      <c r="BA24" s="720"/>
      <c r="BB24" s="720"/>
      <c r="BC24" s="720"/>
      <c r="BD24" s="720"/>
      <c r="BE24" s="720"/>
      <c r="BF24" s="720"/>
      <c r="BG24" s="720"/>
      <c r="BH24" s="720"/>
      <c r="BI24" s="720"/>
      <c r="BJ24" s="720"/>
      <c r="BK24" s="720"/>
      <c r="BL24" s="720"/>
      <c r="BM24" s="720"/>
      <c r="BN24" s="720"/>
      <c r="BO24" s="720"/>
      <c r="BP24" s="720"/>
      <c r="BQ24" s="720"/>
      <c r="BR24" s="720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0"/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0"/>
      <c r="CW24" s="720"/>
      <c r="CX24" s="720"/>
      <c r="CY24" s="720"/>
      <c r="CZ24" s="720"/>
      <c r="DA24" s="720"/>
      <c r="DB24" s="720"/>
      <c r="DC24" s="720"/>
      <c r="DD24" s="720"/>
      <c r="DE24" s="720"/>
      <c r="DF24" s="720"/>
      <c r="DG24" s="720"/>
      <c r="DH24" s="720"/>
      <c r="DI24" s="720"/>
      <c r="DJ24" s="720"/>
      <c r="DK24" s="720"/>
      <c r="DL24" s="720"/>
      <c r="DM24" s="720"/>
      <c r="DN24" s="720"/>
      <c r="DO24" s="720"/>
      <c r="DP24" s="720"/>
      <c r="DQ24" s="720"/>
      <c r="DR24" s="720"/>
      <c r="DS24" s="720"/>
      <c r="DT24" s="720"/>
      <c r="DU24" s="720"/>
      <c r="DV24" s="720"/>
      <c r="DW24" s="720"/>
      <c r="DX24" s="720"/>
      <c r="DY24" s="720"/>
      <c r="DZ24" s="720"/>
      <c r="EA24" s="720"/>
      <c r="EB24" s="720"/>
      <c r="EC24" s="720"/>
      <c r="ED24" s="720"/>
      <c r="EE24" s="720"/>
      <c r="EF24" s="720"/>
      <c r="EG24" s="720"/>
      <c r="EH24" s="720"/>
      <c r="EI24" s="720"/>
      <c r="EJ24" s="720"/>
      <c r="EK24" s="720"/>
      <c r="EL24" s="720"/>
      <c r="EM24" s="720"/>
      <c r="EN24" s="720"/>
      <c r="EO24" s="720"/>
      <c r="EP24" s="720"/>
      <c r="EQ24" s="720"/>
      <c r="ER24" s="720"/>
      <c r="ES24" s="720"/>
      <c r="ET24" s="720"/>
      <c r="EU24" s="720"/>
      <c r="EV24" s="720"/>
      <c r="EW24" s="720"/>
      <c r="EX24" s="720"/>
    </row>
    <row r="25" spans="1:154" s="388" customFormat="1" ht="15" customHeight="1">
      <c r="A25" s="256" t="s">
        <v>329</v>
      </c>
      <c r="B25" s="1669">
        <f>'Anexo 3 _ RCL'!Q22</f>
        <v>452602097</v>
      </c>
      <c r="C25" s="1674"/>
      <c r="D25" s="1690">
        <f>124432920.79-24886584.04</f>
        <v>99546336.75</v>
      </c>
      <c r="E25" s="1691"/>
      <c r="N25" s="1669">
        <v>129377308.81</v>
      </c>
      <c r="O25" s="1670"/>
      <c r="P25" s="1671"/>
      <c r="Q25" s="720"/>
      <c r="R25" s="720"/>
      <c r="S25" s="720"/>
      <c r="T25" s="721"/>
      <c r="U25" s="720"/>
      <c r="V25" s="722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20"/>
      <c r="DF25" s="720"/>
      <c r="DG25" s="720"/>
      <c r="DH25" s="720"/>
      <c r="DI25" s="720"/>
      <c r="DJ25" s="720"/>
      <c r="DK25" s="720"/>
      <c r="DL25" s="720"/>
      <c r="DM25" s="720"/>
      <c r="DN25" s="720"/>
      <c r="DO25" s="720"/>
      <c r="DP25" s="720"/>
      <c r="DQ25" s="720"/>
      <c r="DR25" s="720"/>
      <c r="DS25" s="720"/>
      <c r="DT25" s="720"/>
      <c r="DU25" s="720"/>
      <c r="DV25" s="720"/>
      <c r="DW25" s="720"/>
      <c r="DX25" s="720"/>
      <c r="DY25" s="720"/>
      <c r="DZ25" s="720"/>
      <c r="EA25" s="720"/>
      <c r="EB25" s="720"/>
      <c r="EC25" s="720"/>
      <c r="ED25" s="720"/>
      <c r="EE25" s="720"/>
      <c r="EF25" s="720"/>
      <c r="EG25" s="720"/>
      <c r="EH25" s="720"/>
      <c r="EI25" s="720"/>
      <c r="EJ25" s="720"/>
      <c r="EK25" s="720"/>
      <c r="EL25" s="720"/>
      <c r="EM25" s="720"/>
      <c r="EN25" s="720"/>
      <c r="EO25" s="720"/>
      <c r="EP25" s="720"/>
      <c r="EQ25" s="720"/>
      <c r="ER25" s="720"/>
      <c r="ES25" s="720"/>
      <c r="ET25" s="720"/>
      <c r="EU25" s="720"/>
      <c r="EV25" s="720"/>
      <c r="EW25" s="720"/>
      <c r="EX25" s="720"/>
    </row>
    <row r="26" spans="1:154" s="260" customFormat="1" ht="15" customHeight="1">
      <c r="A26" s="256" t="s">
        <v>330</v>
      </c>
      <c r="B26" s="1709">
        <f>'Anexo 1 _ BAL ORC'!C29</f>
        <v>38723488.13</v>
      </c>
      <c r="C26" s="1710"/>
      <c r="D26" s="1690">
        <f>'Anexo 1 _ BAL ORC'!G29</f>
        <v>2583204.8</v>
      </c>
      <c r="E26" s="1691"/>
      <c r="N26" s="1669">
        <v>2721585.07</v>
      </c>
      <c r="O26" s="1670"/>
      <c r="P26" s="1671"/>
      <c r="Q26" s="720"/>
      <c r="R26" s="720"/>
      <c r="S26" s="720"/>
      <c r="T26" s="721"/>
      <c r="U26" s="724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0"/>
      <c r="BA26" s="720"/>
      <c r="BB26" s="720"/>
      <c r="BC26" s="720"/>
      <c r="BD26" s="720"/>
      <c r="BE26" s="720"/>
      <c r="BF26" s="720"/>
      <c r="BG26" s="720"/>
      <c r="BH26" s="720"/>
      <c r="BI26" s="720"/>
      <c r="BJ26" s="720"/>
      <c r="BK26" s="720"/>
      <c r="BL26" s="720"/>
      <c r="BM26" s="720"/>
      <c r="BN26" s="720"/>
      <c r="BO26" s="720"/>
      <c r="BP26" s="720"/>
      <c r="BQ26" s="720"/>
      <c r="BR26" s="720"/>
      <c r="BS26" s="720"/>
      <c r="BT26" s="720"/>
      <c r="BU26" s="720"/>
      <c r="BV26" s="720"/>
      <c r="BW26" s="720"/>
      <c r="BX26" s="720"/>
      <c r="BY26" s="720"/>
      <c r="BZ26" s="720"/>
      <c r="CA26" s="720"/>
      <c r="CB26" s="720"/>
      <c r="CC26" s="720"/>
      <c r="CD26" s="720"/>
      <c r="CE26" s="720"/>
      <c r="CF26" s="720"/>
      <c r="CG26" s="720"/>
      <c r="CH26" s="720"/>
      <c r="CI26" s="720"/>
      <c r="CJ26" s="720"/>
      <c r="CK26" s="720"/>
      <c r="CL26" s="720"/>
      <c r="CM26" s="720"/>
      <c r="CN26" s="720"/>
      <c r="CO26" s="720"/>
      <c r="CP26" s="720"/>
      <c r="CQ26" s="720"/>
      <c r="CR26" s="720"/>
      <c r="CS26" s="720"/>
      <c r="CT26" s="720"/>
      <c r="CU26" s="720"/>
      <c r="CV26" s="720"/>
      <c r="CW26" s="720"/>
      <c r="CX26" s="720"/>
      <c r="CY26" s="720"/>
      <c r="CZ26" s="720"/>
      <c r="DA26" s="720"/>
      <c r="DB26" s="720"/>
      <c r="DC26" s="720"/>
      <c r="DD26" s="720"/>
      <c r="DE26" s="720"/>
      <c r="DF26" s="720"/>
      <c r="DG26" s="720"/>
      <c r="DH26" s="720"/>
      <c r="DI26" s="720"/>
      <c r="DJ26" s="720"/>
      <c r="DK26" s="720"/>
      <c r="DL26" s="720"/>
      <c r="DM26" s="720"/>
      <c r="DN26" s="720"/>
      <c r="DO26" s="720"/>
      <c r="DP26" s="720"/>
      <c r="DQ26" s="720"/>
      <c r="DR26" s="720"/>
      <c r="DS26" s="720"/>
      <c r="DT26" s="720"/>
      <c r="DU26" s="720"/>
      <c r="DV26" s="720"/>
      <c r="DW26" s="720"/>
      <c r="DX26" s="720"/>
      <c r="DY26" s="720"/>
      <c r="DZ26" s="720"/>
      <c r="EA26" s="720"/>
      <c r="EB26" s="720"/>
      <c r="EC26" s="720"/>
      <c r="ED26" s="720"/>
      <c r="EE26" s="720"/>
      <c r="EF26" s="720"/>
      <c r="EG26" s="720"/>
      <c r="EH26" s="720"/>
      <c r="EI26" s="720"/>
      <c r="EJ26" s="720"/>
      <c r="EK26" s="720"/>
      <c r="EL26" s="720"/>
      <c r="EM26" s="720"/>
      <c r="EN26" s="720"/>
      <c r="EO26" s="720"/>
      <c r="EP26" s="720"/>
      <c r="EQ26" s="720"/>
      <c r="ER26" s="720"/>
      <c r="ES26" s="720"/>
      <c r="ET26" s="720"/>
      <c r="EU26" s="720"/>
      <c r="EV26" s="720"/>
      <c r="EW26" s="720"/>
      <c r="EX26" s="720"/>
    </row>
    <row r="27" spans="1:154" s="388" customFormat="1" ht="15" customHeight="1">
      <c r="A27" s="256" t="s">
        <v>331</v>
      </c>
      <c r="B27" s="1669">
        <f>1806425695.13-1051115876.13-221883709</f>
        <v>533426110.0000001</v>
      </c>
      <c r="C27" s="1674"/>
      <c r="D27" s="1697">
        <f>578110586.11-224616248.28-65279105.07</f>
        <v>288215232.76000005</v>
      </c>
      <c r="E27" s="1698"/>
      <c r="N27" s="1669">
        <v>264237005.39</v>
      </c>
      <c r="O27" s="1670"/>
      <c r="P27" s="1671"/>
      <c r="Q27" s="720"/>
      <c r="R27" s="720"/>
      <c r="S27" s="720"/>
      <c r="T27" s="722"/>
      <c r="U27" s="722"/>
      <c r="V27" s="722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0"/>
      <c r="BA27" s="720"/>
      <c r="BB27" s="720"/>
      <c r="BC27" s="720"/>
      <c r="BD27" s="720"/>
      <c r="BE27" s="720"/>
      <c r="BF27" s="720"/>
      <c r="BG27" s="720"/>
      <c r="BH27" s="720"/>
      <c r="BI27" s="720"/>
      <c r="BJ27" s="720"/>
      <c r="BK27" s="720"/>
      <c r="BL27" s="720"/>
      <c r="BM27" s="720"/>
      <c r="BN27" s="720"/>
      <c r="BO27" s="720"/>
      <c r="BP27" s="720"/>
      <c r="BQ27" s="720"/>
      <c r="BR27" s="720"/>
      <c r="BS27" s="720"/>
      <c r="BT27" s="720"/>
      <c r="BU27" s="720"/>
      <c r="BV27" s="720"/>
      <c r="BW27" s="720"/>
      <c r="BX27" s="720"/>
      <c r="BY27" s="720"/>
      <c r="BZ27" s="720"/>
      <c r="CA27" s="720"/>
      <c r="CB27" s="720"/>
      <c r="CC27" s="720"/>
      <c r="CD27" s="720"/>
      <c r="CE27" s="720"/>
      <c r="CF27" s="720"/>
      <c r="CG27" s="720"/>
      <c r="CH27" s="720"/>
      <c r="CI27" s="720"/>
      <c r="CJ27" s="720"/>
      <c r="CK27" s="720"/>
      <c r="CL27" s="720"/>
      <c r="CM27" s="720"/>
      <c r="CN27" s="720"/>
      <c r="CO27" s="720"/>
      <c r="CP27" s="720"/>
      <c r="CQ27" s="720"/>
      <c r="CR27" s="720"/>
      <c r="CS27" s="720"/>
      <c r="CT27" s="720"/>
      <c r="CU27" s="720"/>
      <c r="CV27" s="720"/>
      <c r="CW27" s="720"/>
      <c r="CX27" s="720"/>
      <c r="CY27" s="720"/>
      <c r="CZ27" s="720"/>
      <c r="DA27" s="720"/>
      <c r="DB27" s="720"/>
      <c r="DC27" s="720"/>
      <c r="DD27" s="720"/>
      <c r="DE27" s="720"/>
      <c r="DF27" s="720"/>
      <c r="DG27" s="720"/>
      <c r="DH27" s="720"/>
      <c r="DI27" s="720"/>
      <c r="DJ27" s="720"/>
      <c r="DK27" s="720"/>
      <c r="DL27" s="720"/>
      <c r="DM27" s="720"/>
      <c r="DN27" s="720"/>
      <c r="DO27" s="720"/>
      <c r="DP27" s="720"/>
      <c r="DQ27" s="720"/>
      <c r="DR27" s="720"/>
      <c r="DS27" s="720"/>
      <c r="DT27" s="720"/>
      <c r="DU27" s="720"/>
      <c r="DV27" s="720"/>
      <c r="DW27" s="720"/>
      <c r="DX27" s="720"/>
      <c r="DY27" s="720"/>
      <c r="DZ27" s="720"/>
      <c r="EA27" s="720"/>
      <c r="EB27" s="720"/>
      <c r="EC27" s="720"/>
      <c r="ED27" s="720"/>
      <c r="EE27" s="720"/>
      <c r="EF27" s="720"/>
      <c r="EG27" s="720"/>
      <c r="EH27" s="720"/>
      <c r="EI27" s="720"/>
      <c r="EJ27" s="720"/>
      <c r="EK27" s="720"/>
      <c r="EL27" s="720"/>
      <c r="EM27" s="720"/>
      <c r="EN27" s="720"/>
      <c r="EO27" s="720"/>
      <c r="EP27" s="720"/>
      <c r="EQ27" s="720"/>
      <c r="ER27" s="720"/>
      <c r="ES27" s="720"/>
      <c r="ET27" s="720"/>
      <c r="EU27" s="720"/>
      <c r="EV27" s="720"/>
      <c r="EW27" s="720"/>
      <c r="EX27" s="720"/>
    </row>
    <row r="28" spans="1:154" s="265" customFormat="1" ht="15" customHeight="1">
      <c r="A28" s="535" t="s">
        <v>332</v>
      </c>
      <c r="B28" s="1666">
        <f>B29+B30</f>
        <v>63607781</v>
      </c>
      <c r="C28" s="1675"/>
      <c r="D28" s="1699">
        <f>D29+D30</f>
        <v>23172696.79</v>
      </c>
      <c r="E28" s="1700"/>
      <c r="N28" s="1666">
        <f>N29+N30</f>
        <v>17752666.93</v>
      </c>
      <c r="O28" s="1667"/>
      <c r="P28" s="1668"/>
      <c r="Q28" s="725"/>
      <c r="R28" s="725"/>
      <c r="S28" s="725"/>
      <c r="T28" s="727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5"/>
      <c r="AJ28" s="725"/>
      <c r="AK28" s="725"/>
      <c r="AL28" s="725"/>
      <c r="AM28" s="725"/>
      <c r="AN28" s="725"/>
      <c r="AO28" s="725"/>
      <c r="AP28" s="725"/>
      <c r="AQ28" s="725"/>
      <c r="AR28" s="725"/>
      <c r="AS28" s="725"/>
      <c r="AT28" s="725"/>
      <c r="AU28" s="725"/>
      <c r="AV28" s="725"/>
      <c r="AW28" s="725"/>
      <c r="AX28" s="725"/>
      <c r="AY28" s="725"/>
      <c r="AZ28" s="725"/>
      <c r="BA28" s="725"/>
      <c r="BB28" s="725"/>
      <c r="BC28" s="725"/>
      <c r="BD28" s="725"/>
      <c r="BE28" s="725"/>
      <c r="BF28" s="725"/>
      <c r="BG28" s="725"/>
      <c r="BH28" s="725"/>
      <c r="BI28" s="725"/>
      <c r="BJ28" s="725"/>
      <c r="BK28" s="725"/>
      <c r="BL28" s="725"/>
      <c r="BM28" s="725"/>
      <c r="BN28" s="725"/>
      <c r="BO28" s="725"/>
      <c r="BP28" s="725"/>
      <c r="BQ28" s="725"/>
      <c r="BR28" s="725"/>
      <c r="BS28" s="725"/>
      <c r="BT28" s="725"/>
      <c r="BU28" s="725"/>
      <c r="BV28" s="725"/>
      <c r="BW28" s="725"/>
      <c r="BX28" s="725"/>
      <c r="BY28" s="725"/>
      <c r="BZ28" s="725"/>
      <c r="CA28" s="725"/>
      <c r="CB28" s="725"/>
      <c r="CC28" s="725"/>
      <c r="CD28" s="725"/>
      <c r="CE28" s="725"/>
      <c r="CF28" s="725"/>
      <c r="CG28" s="725"/>
      <c r="CH28" s="725"/>
      <c r="CI28" s="725"/>
      <c r="CJ28" s="725"/>
      <c r="CK28" s="725"/>
      <c r="CL28" s="725"/>
      <c r="CM28" s="725"/>
      <c r="CN28" s="725"/>
      <c r="CO28" s="725"/>
      <c r="CP28" s="725"/>
      <c r="CQ28" s="725"/>
      <c r="CR28" s="725"/>
      <c r="CS28" s="725"/>
      <c r="CT28" s="725"/>
      <c r="CU28" s="725"/>
      <c r="CV28" s="725"/>
      <c r="CW28" s="725"/>
      <c r="CX28" s="725"/>
      <c r="CY28" s="725"/>
      <c r="CZ28" s="725"/>
      <c r="DA28" s="725"/>
      <c r="DB28" s="725"/>
      <c r="DC28" s="725"/>
      <c r="DD28" s="725"/>
      <c r="DE28" s="725"/>
      <c r="DF28" s="725"/>
      <c r="DG28" s="725"/>
      <c r="DH28" s="725"/>
      <c r="DI28" s="725"/>
      <c r="DJ28" s="725"/>
      <c r="DK28" s="725"/>
      <c r="DL28" s="725"/>
      <c r="DM28" s="725"/>
      <c r="DN28" s="725"/>
      <c r="DO28" s="725"/>
      <c r="DP28" s="725"/>
      <c r="DQ28" s="725"/>
      <c r="DR28" s="725"/>
      <c r="DS28" s="725"/>
      <c r="DT28" s="725"/>
      <c r="DU28" s="725"/>
      <c r="DV28" s="725"/>
      <c r="DW28" s="725"/>
      <c r="DX28" s="725"/>
      <c r="DY28" s="725"/>
      <c r="DZ28" s="725"/>
      <c r="EA28" s="725"/>
      <c r="EB28" s="725"/>
      <c r="EC28" s="725"/>
      <c r="ED28" s="725"/>
      <c r="EE28" s="725"/>
      <c r="EF28" s="725"/>
      <c r="EG28" s="725"/>
      <c r="EH28" s="725"/>
      <c r="EI28" s="725"/>
      <c r="EJ28" s="725"/>
      <c r="EK28" s="725"/>
      <c r="EL28" s="725"/>
      <c r="EM28" s="725"/>
      <c r="EN28" s="725"/>
      <c r="EO28" s="725"/>
      <c r="EP28" s="725"/>
      <c r="EQ28" s="725"/>
      <c r="ER28" s="725"/>
      <c r="ES28" s="725"/>
      <c r="ET28" s="725"/>
      <c r="EU28" s="725"/>
      <c r="EV28" s="725"/>
      <c r="EW28" s="725"/>
      <c r="EX28" s="725"/>
    </row>
    <row r="29" spans="1:154" ht="15" customHeight="1">
      <c r="A29" s="259" t="s">
        <v>333</v>
      </c>
      <c r="B29" s="1669">
        <f>'Anexo 1 _ BAL ORC'!C33</f>
        <v>33558462</v>
      </c>
      <c r="C29" s="1674"/>
      <c r="D29" s="1690">
        <f>'Anexo 1 _ BAL ORC'!G33</f>
        <v>10692946.84</v>
      </c>
      <c r="E29" s="1691"/>
      <c r="N29" s="1669">
        <v>9822309.81</v>
      </c>
      <c r="O29" s="1670"/>
      <c r="P29" s="1671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0"/>
      <c r="BA29" s="720"/>
      <c r="BB29" s="720"/>
      <c r="BC29" s="720"/>
      <c r="BD29" s="720"/>
      <c r="BE29" s="720"/>
      <c r="BF29" s="720"/>
      <c r="BG29" s="720"/>
      <c r="BH29" s="720"/>
      <c r="BI29" s="720"/>
      <c r="BJ29" s="720"/>
      <c r="BK29" s="720"/>
      <c r="BL29" s="720"/>
      <c r="BM29" s="720"/>
      <c r="BN29" s="720"/>
      <c r="BO29" s="720"/>
      <c r="BP29" s="720"/>
      <c r="BQ29" s="720"/>
      <c r="BR29" s="720"/>
      <c r="BS29" s="720"/>
      <c r="BT29" s="720"/>
      <c r="BU29" s="720"/>
      <c r="BV29" s="720"/>
      <c r="BW29" s="720"/>
      <c r="BX29" s="720"/>
      <c r="BY29" s="720"/>
      <c r="BZ29" s="720"/>
      <c r="CA29" s="720"/>
      <c r="CB29" s="720"/>
      <c r="CC29" s="720"/>
      <c r="CD29" s="720"/>
      <c r="CE29" s="720"/>
      <c r="CF29" s="720"/>
      <c r="CG29" s="720"/>
      <c r="CH29" s="720"/>
      <c r="CI29" s="720"/>
      <c r="CJ29" s="720"/>
      <c r="CK29" s="720"/>
      <c r="CL29" s="720"/>
      <c r="CM29" s="720"/>
      <c r="CN29" s="720"/>
      <c r="CO29" s="720"/>
      <c r="CP29" s="720"/>
      <c r="CQ29" s="720"/>
      <c r="CR29" s="720"/>
      <c r="CS29" s="720"/>
      <c r="CT29" s="720"/>
      <c r="CU29" s="720"/>
      <c r="CV29" s="720"/>
      <c r="CW29" s="720"/>
      <c r="CX29" s="720"/>
      <c r="CY29" s="720"/>
      <c r="CZ29" s="720"/>
      <c r="DA29" s="720"/>
      <c r="DB29" s="720"/>
      <c r="DC29" s="720"/>
      <c r="DD29" s="720"/>
      <c r="DE29" s="720"/>
      <c r="DF29" s="720"/>
      <c r="DG29" s="720"/>
      <c r="DH29" s="720"/>
      <c r="DI29" s="720"/>
      <c r="DJ29" s="720"/>
      <c r="DK29" s="720"/>
      <c r="DL29" s="720"/>
      <c r="DM29" s="720"/>
      <c r="DN29" s="720"/>
      <c r="DO29" s="720"/>
      <c r="DP29" s="720"/>
      <c r="DQ29" s="720"/>
      <c r="DR29" s="720"/>
      <c r="DS29" s="720"/>
      <c r="DT29" s="720"/>
      <c r="DU29" s="720"/>
      <c r="DV29" s="720"/>
      <c r="DW29" s="720"/>
      <c r="DX29" s="720"/>
      <c r="DY29" s="720"/>
      <c r="DZ29" s="720"/>
      <c r="EA29" s="720"/>
      <c r="EB29" s="720"/>
      <c r="EC29" s="720"/>
      <c r="ED29" s="720"/>
      <c r="EE29" s="720"/>
      <c r="EF29" s="720"/>
      <c r="EG29" s="720"/>
      <c r="EH29" s="720"/>
      <c r="EI29" s="720"/>
      <c r="EJ29" s="720"/>
      <c r="EK29" s="720"/>
      <c r="EL29" s="720"/>
      <c r="EM29" s="720"/>
      <c r="EN29" s="720"/>
      <c r="EO29" s="720"/>
      <c r="EP29" s="720"/>
      <c r="EQ29" s="720"/>
      <c r="ER29" s="720"/>
      <c r="ES29" s="720"/>
      <c r="ET29" s="720"/>
      <c r="EU29" s="720"/>
      <c r="EV29" s="720"/>
      <c r="EW29" s="720"/>
      <c r="EX29" s="720"/>
    </row>
    <row r="30" spans="1:154" ht="15" customHeight="1">
      <c r="A30" s="261" t="s">
        <v>334</v>
      </c>
      <c r="B30" s="1708">
        <f>63457679-33558462+150102</f>
        <v>30049319</v>
      </c>
      <c r="C30" s="1674"/>
      <c r="D30" s="1690">
        <f>23044626.59-10692946.84+128070.2</f>
        <v>12479749.95</v>
      </c>
      <c r="E30" s="1691"/>
      <c r="N30" s="1669">
        <v>7930357.12</v>
      </c>
      <c r="O30" s="1670"/>
      <c r="P30" s="1671"/>
      <c r="Q30" s="720"/>
      <c r="R30" s="720"/>
      <c r="S30" s="720"/>
      <c r="T30" s="721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  <c r="AN30" s="720"/>
      <c r="AO30" s="720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0"/>
      <c r="BA30" s="720"/>
      <c r="BB30" s="720"/>
      <c r="BC30" s="720"/>
      <c r="BD30" s="720"/>
      <c r="BE30" s="720"/>
      <c r="BF30" s="720"/>
      <c r="BG30" s="720"/>
      <c r="BH30" s="720"/>
      <c r="BI30" s="720"/>
      <c r="BJ30" s="720"/>
      <c r="BK30" s="720"/>
      <c r="BL30" s="720"/>
      <c r="BM30" s="720"/>
      <c r="BN30" s="720"/>
      <c r="BO30" s="720"/>
      <c r="BP30" s="720"/>
      <c r="BQ30" s="720"/>
      <c r="BR30" s="720"/>
      <c r="BS30" s="720"/>
      <c r="BT30" s="720"/>
      <c r="BU30" s="720"/>
      <c r="BV30" s="720"/>
      <c r="BW30" s="720"/>
      <c r="BX30" s="720"/>
      <c r="BY30" s="720"/>
      <c r="BZ30" s="720"/>
      <c r="CA30" s="720"/>
      <c r="CB30" s="720"/>
      <c r="CC30" s="720"/>
      <c r="CD30" s="720"/>
      <c r="CE30" s="720"/>
      <c r="CF30" s="720"/>
      <c r="CG30" s="720"/>
      <c r="CH30" s="720"/>
      <c r="CI30" s="720"/>
      <c r="CJ30" s="720"/>
      <c r="CK30" s="720"/>
      <c r="CL30" s="720"/>
      <c r="CM30" s="720"/>
      <c r="CN30" s="720"/>
      <c r="CO30" s="720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0"/>
      <c r="DE30" s="720"/>
      <c r="DF30" s="720"/>
      <c r="DG30" s="720"/>
      <c r="DH30" s="720"/>
      <c r="DI30" s="720"/>
      <c r="DJ30" s="720"/>
      <c r="DK30" s="720"/>
      <c r="DL30" s="720"/>
      <c r="DM30" s="720"/>
      <c r="DN30" s="720"/>
      <c r="DO30" s="720"/>
      <c r="DP30" s="720"/>
      <c r="DQ30" s="720"/>
      <c r="DR30" s="720"/>
      <c r="DS30" s="720"/>
      <c r="DT30" s="720"/>
      <c r="DU30" s="720"/>
      <c r="DV30" s="720"/>
      <c r="DW30" s="720"/>
      <c r="DX30" s="720"/>
      <c r="DY30" s="720"/>
      <c r="DZ30" s="720"/>
      <c r="EA30" s="720"/>
      <c r="EB30" s="720"/>
      <c r="EC30" s="720"/>
      <c r="ED30" s="720"/>
      <c r="EE30" s="720"/>
      <c r="EF30" s="720"/>
      <c r="EG30" s="720"/>
      <c r="EH30" s="720"/>
      <c r="EI30" s="720"/>
      <c r="EJ30" s="720"/>
      <c r="EK30" s="720"/>
      <c r="EL30" s="720"/>
      <c r="EM30" s="720"/>
      <c r="EN30" s="720"/>
      <c r="EO30" s="720"/>
      <c r="EP30" s="720"/>
      <c r="EQ30" s="720"/>
      <c r="ER30" s="720"/>
      <c r="ES30" s="720"/>
      <c r="ET30" s="720"/>
      <c r="EU30" s="720"/>
      <c r="EV30" s="720"/>
      <c r="EW30" s="720"/>
      <c r="EX30" s="720"/>
    </row>
    <row r="31" spans="1:154" ht="15" customHeight="1">
      <c r="A31" s="262" t="s">
        <v>335</v>
      </c>
      <c r="B31" s="1666">
        <f>B32+B33+B34+B35+B38</f>
        <v>162958052</v>
      </c>
      <c r="C31" s="1675"/>
      <c r="D31" s="1699">
        <f>D32+D33+D34+D35+D38</f>
        <v>2555682.5600000005</v>
      </c>
      <c r="E31" s="1700"/>
      <c r="N31" s="1666">
        <f>N32+N33+N34+N35++N38</f>
        <v>1362804.8299999998</v>
      </c>
      <c r="O31" s="1667"/>
      <c r="P31" s="1668"/>
      <c r="Q31" s="720"/>
      <c r="R31" s="720"/>
      <c r="S31" s="720"/>
      <c r="T31" s="724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0"/>
      <c r="AJ31" s="720"/>
      <c r="AK31" s="720"/>
      <c r="AL31" s="720"/>
      <c r="AM31" s="720"/>
      <c r="AN31" s="720"/>
      <c r="AO31" s="720"/>
      <c r="AP31" s="720"/>
      <c r="AQ31" s="720"/>
      <c r="AR31" s="720"/>
      <c r="AS31" s="720"/>
      <c r="AT31" s="720"/>
      <c r="AU31" s="720"/>
      <c r="AV31" s="720"/>
      <c r="AW31" s="720"/>
      <c r="AX31" s="720"/>
      <c r="AY31" s="720"/>
      <c r="AZ31" s="720"/>
      <c r="BA31" s="720"/>
      <c r="BB31" s="720"/>
      <c r="BC31" s="720"/>
      <c r="BD31" s="720"/>
      <c r="BE31" s="720"/>
      <c r="BF31" s="720"/>
      <c r="BG31" s="720"/>
      <c r="BH31" s="720"/>
      <c r="BI31" s="720"/>
      <c r="BJ31" s="720"/>
      <c r="BK31" s="720"/>
      <c r="BL31" s="720"/>
      <c r="BM31" s="720"/>
      <c r="BN31" s="720"/>
      <c r="BO31" s="720"/>
      <c r="BP31" s="720"/>
      <c r="BQ31" s="720"/>
      <c r="BR31" s="720"/>
      <c r="BS31" s="720"/>
      <c r="BT31" s="720"/>
      <c r="BU31" s="720"/>
      <c r="BV31" s="720"/>
      <c r="BW31" s="720"/>
      <c r="BX31" s="720"/>
      <c r="BY31" s="720"/>
      <c r="BZ31" s="720"/>
      <c r="CA31" s="720"/>
      <c r="CB31" s="720"/>
      <c r="CC31" s="720"/>
      <c r="CD31" s="720"/>
      <c r="CE31" s="720"/>
      <c r="CF31" s="720"/>
      <c r="CG31" s="720"/>
      <c r="CH31" s="720"/>
      <c r="CI31" s="720"/>
      <c r="CJ31" s="720"/>
      <c r="CK31" s="720"/>
      <c r="CL31" s="720"/>
      <c r="CM31" s="720"/>
      <c r="CN31" s="720"/>
      <c r="CO31" s="720"/>
      <c r="CP31" s="720"/>
      <c r="CQ31" s="720"/>
      <c r="CR31" s="720"/>
      <c r="CS31" s="720"/>
      <c r="CT31" s="720"/>
      <c r="CU31" s="720"/>
      <c r="CV31" s="720"/>
      <c r="CW31" s="720"/>
      <c r="CX31" s="720"/>
      <c r="CY31" s="720"/>
      <c r="CZ31" s="720"/>
      <c r="DA31" s="720"/>
      <c r="DB31" s="720"/>
      <c r="DC31" s="720"/>
      <c r="DD31" s="720"/>
      <c r="DE31" s="720"/>
      <c r="DF31" s="720"/>
      <c r="DG31" s="720"/>
      <c r="DH31" s="720"/>
      <c r="DI31" s="720"/>
      <c r="DJ31" s="720"/>
      <c r="DK31" s="720"/>
      <c r="DL31" s="720"/>
      <c r="DM31" s="720"/>
      <c r="DN31" s="720"/>
      <c r="DO31" s="720"/>
      <c r="DP31" s="720"/>
      <c r="DQ31" s="720"/>
      <c r="DR31" s="720"/>
      <c r="DS31" s="720"/>
      <c r="DT31" s="720"/>
      <c r="DU31" s="720"/>
      <c r="DV31" s="720"/>
      <c r="DW31" s="720"/>
      <c r="DX31" s="720"/>
      <c r="DY31" s="720"/>
      <c r="DZ31" s="720"/>
      <c r="EA31" s="720"/>
      <c r="EB31" s="720"/>
      <c r="EC31" s="720"/>
      <c r="ED31" s="720"/>
      <c r="EE31" s="720"/>
      <c r="EF31" s="720"/>
      <c r="EG31" s="720"/>
      <c r="EH31" s="720"/>
      <c r="EI31" s="720"/>
      <c r="EJ31" s="720"/>
      <c r="EK31" s="720"/>
      <c r="EL31" s="720"/>
      <c r="EM31" s="720"/>
      <c r="EN31" s="720"/>
      <c r="EO31" s="720"/>
      <c r="EP31" s="720"/>
      <c r="EQ31" s="720"/>
      <c r="ER31" s="720"/>
      <c r="ES31" s="720"/>
      <c r="ET31" s="720"/>
      <c r="EU31" s="720"/>
      <c r="EV31" s="720"/>
      <c r="EW31" s="720"/>
      <c r="EX31" s="720"/>
    </row>
    <row r="32" spans="1:154" ht="15" customHeight="1">
      <c r="A32" s="264" t="s">
        <v>336</v>
      </c>
      <c r="B32" s="1669">
        <f>'Anexo 1 _ BAL ORC'!C36</f>
        <v>110193363</v>
      </c>
      <c r="C32" s="1674"/>
      <c r="D32" s="1690">
        <f>'Anexo 1 _ BAL ORC'!G36</f>
        <v>2514619.3200000003</v>
      </c>
      <c r="E32" s="1691"/>
      <c r="N32" s="1669">
        <v>1360912.93</v>
      </c>
      <c r="O32" s="1670"/>
      <c r="P32" s="1671"/>
      <c r="Q32" s="720"/>
      <c r="R32" s="720"/>
      <c r="S32" s="720"/>
      <c r="T32" s="724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0"/>
      <c r="BD32" s="720"/>
      <c r="BE32" s="720"/>
      <c r="BF32" s="720"/>
      <c r="BG32" s="720"/>
      <c r="BH32" s="720"/>
      <c r="BI32" s="720"/>
      <c r="BJ32" s="720"/>
      <c r="BK32" s="720"/>
      <c r="BL32" s="720"/>
      <c r="BM32" s="720"/>
      <c r="BN32" s="720"/>
      <c r="BO32" s="720"/>
      <c r="BP32" s="720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0"/>
      <c r="CS32" s="720"/>
      <c r="CT32" s="720"/>
      <c r="CU32" s="720"/>
      <c r="CV32" s="720"/>
      <c r="CW32" s="720"/>
      <c r="CX32" s="720"/>
      <c r="CY32" s="720"/>
      <c r="CZ32" s="720"/>
      <c r="DA32" s="720"/>
      <c r="DB32" s="720"/>
      <c r="DC32" s="720"/>
      <c r="DD32" s="720"/>
      <c r="DE32" s="720"/>
      <c r="DF32" s="720"/>
      <c r="DG32" s="720"/>
      <c r="DH32" s="720"/>
      <c r="DI32" s="720"/>
      <c r="DJ32" s="720"/>
      <c r="DK32" s="720"/>
      <c r="DL32" s="720"/>
      <c r="DM32" s="720"/>
      <c r="DN32" s="720"/>
      <c r="DO32" s="720"/>
      <c r="DP32" s="720"/>
      <c r="DQ32" s="720"/>
      <c r="DR32" s="720"/>
      <c r="DS32" s="720"/>
      <c r="DT32" s="720"/>
      <c r="DU32" s="720"/>
      <c r="DV32" s="720"/>
      <c r="DW32" s="720"/>
      <c r="DX32" s="720"/>
      <c r="DY32" s="720"/>
      <c r="DZ32" s="720"/>
      <c r="EA32" s="720"/>
      <c r="EB32" s="720"/>
      <c r="EC32" s="720"/>
      <c r="ED32" s="720"/>
      <c r="EE32" s="720"/>
      <c r="EF32" s="720"/>
      <c r="EG32" s="720"/>
      <c r="EH32" s="720"/>
      <c r="EI32" s="720"/>
      <c r="EJ32" s="720"/>
      <c r="EK32" s="720"/>
      <c r="EL32" s="720"/>
      <c r="EM32" s="720"/>
      <c r="EN32" s="720"/>
      <c r="EO32" s="720"/>
      <c r="EP32" s="720"/>
      <c r="EQ32" s="720"/>
      <c r="ER32" s="720"/>
      <c r="ES32" s="720"/>
      <c r="ET32" s="720"/>
      <c r="EU32" s="720"/>
      <c r="EV32" s="720"/>
      <c r="EW32" s="720"/>
      <c r="EX32" s="720"/>
    </row>
    <row r="33" spans="1:154" ht="15" customHeight="1">
      <c r="A33" s="264" t="s">
        <v>337</v>
      </c>
      <c r="B33" s="1669">
        <v>0</v>
      </c>
      <c r="C33" s="1674"/>
      <c r="D33" s="1690">
        <v>0</v>
      </c>
      <c r="E33" s="1691"/>
      <c r="N33" s="1669"/>
      <c r="O33" s="1670"/>
      <c r="P33" s="1671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0"/>
      <c r="AK33" s="720"/>
      <c r="AL33" s="720"/>
      <c r="AM33" s="720"/>
      <c r="AN33" s="720"/>
      <c r="AO33" s="720"/>
      <c r="AP33" s="720"/>
      <c r="AQ33" s="720"/>
      <c r="AR33" s="720"/>
      <c r="AS33" s="720"/>
      <c r="AT33" s="720"/>
      <c r="AU33" s="720"/>
      <c r="AV33" s="720"/>
      <c r="AW33" s="720"/>
      <c r="AX33" s="720"/>
      <c r="AY33" s="720"/>
      <c r="AZ33" s="720"/>
      <c r="BA33" s="720"/>
      <c r="BB33" s="720"/>
      <c r="BC33" s="720"/>
      <c r="BD33" s="720"/>
      <c r="BE33" s="720"/>
      <c r="BF33" s="720"/>
      <c r="BG33" s="720"/>
      <c r="BH33" s="720"/>
      <c r="BI33" s="720"/>
      <c r="BJ33" s="720"/>
      <c r="BK33" s="720"/>
      <c r="BL33" s="720"/>
      <c r="BM33" s="720"/>
      <c r="BN33" s="720"/>
      <c r="BO33" s="720"/>
      <c r="BP33" s="720"/>
      <c r="BQ33" s="720"/>
      <c r="BR33" s="720"/>
      <c r="BS33" s="720"/>
      <c r="BT33" s="720"/>
      <c r="BU33" s="720"/>
      <c r="BV33" s="720"/>
      <c r="BW33" s="720"/>
      <c r="BX33" s="720"/>
      <c r="BY33" s="720"/>
      <c r="BZ33" s="720"/>
      <c r="CA33" s="720"/>
      <c r="CB33" s="720"/>
      <c r="CC33" s="720"/>
      <c r="CD33" s="720"/>
      <c r="CE33" s="720"/>
      <c r="CF33" s="720"/>
      <c r="CG33" s="720"/>
      <c r="CH33" s="720"/>
      <c r="CI33" s="720"/>
      <c r="CJ33" s="720"/>
      <c r="CK33" s="720"/>
      <c r="CL33" s="720"/>
      <c r="CM33" s="720"/>
      <c r="CN33" s="720"/>
      <c r="CO33" s="720"/>
      <c r="CP33" s="720"/>
      <c r="CQ33" s="720"/>
      <c r="CR33" s="720"/>
      <c r="CS33" s="720"/>
      <c r="CT33" s="720"/>
      <c r="CU33" s="720"/>
      <c r="CV33" s="720"/>
      <c r="CW33" s="720"/>
      <c r="CX33" s="720"/>
      <c r="CY33" s="720"/>
      <c r="CZ33" s="720"/>
      <c r="DA33" s="720"/>
      <c r="DB33" s="720"/>
      <c r="DC33" s="720"/>
      <c r="DD33" s="720"/>
      <c r="DE33" s="720"/>
      <c r="DF33" s="720"/>
      <c r="DG33" s="720"/>
      <c r="DH33" s="720"/>
      <c r="DI33" s="720"/>
      <c r="DJ33" s="720"/>
      <c r="DK33" s="720"/>
      <c r="DL33" s="720"/>
      <c r="DM33" s="720"/>
      <c r="DN33" s="720"/>
      <c r="DO33" s="720"/>
      <c r="DP33" s="720"/>
      <c r="DQ33" s="720"/>
      <c r="DR33" s="720"/>
      <c r="DS33" s="720"/>
      <c r="DT33" s="720"/>
      <c r="DU33" s="720"/>
      <c r="DV33" s="720"/>
      <c r="DW33" s="720"/>
      <c r="DX33" s="720"/>
      <c r="DY33" s="720"/>
      <c r="DZ33" s="720"/>
      <c r="EA33" s="720"/>
      <c r="EB33" s="720"/>
      <c r="EC33" s="720"/>
      <c r="ED33" s="720"/>
      <c r="EE33" s="720"/>
      <c r="EF33" s="720"/>
      <c r="EG33" s="720"/>
      <c r="EH33" s="720"/>
      <c r="EI33" s="720"/>
      <c r="EJ33" s="720"/>
      <c r="EK33" s="720"/>
      <c r="EL33" s="720"/>
      <c r="EM33" s="720"/>
      <c r="EN33" s="720"/>
      <c r="EO33" s="720"/>
      <c r="EP33" s="720"/>
      <c r="EQ33" s="720"/>
      <c r="ER33" s="720"/>
      <c r="ES33" s="720"/>
      <c r="ET33" s="720"/>
      <c r="EU33" s="720"/>
      <c r="EV33" s="720"/>
      <c r="EW33" s="720"/>
      <c r="EX33" s="720"/>
    </row>
    <row r="34" spans="1:154" s="265" customFormat="1" ht="15" customHeight="1">
      <c r="A34" s="264" t="s">
        <v>338</v>
      </c>
      <c r="B34" s="1669">
        <f>'Anexo 1 _ BAL ORC'!C39</f>
        <v>1892</v>
      </c>
      <c r="C34" s="1674"/>
      <c r="D34" s="1690">
        <f>'Anexo 1 _ BAL ORC'!G41</f>
        <v>41063.24</v>
      </c>
      <c r="E34" s="1691"/>
      <c r="N34" s="1669">
        <v>1891.9</v>
      </c>
      <c r="O34" s="1670"/>
      <c r="P34" s="1671"/>
      <c r="Q34" s="725"/>
      <c r="R34" s="725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5"/>
      <c r="AV34" s="725"/>
      <c r="AW34" s="725"/>
      <c r="AX34" s="725"/>
      <c r="AY34" s="725"/>
      <c r="AZ34" s="725"/>
      <c r="BA34" s="725"/>
      <c r="BB34" s="725"/>
      <c r="BC34" s="725"/>
      <c r="BD34" s="725"/>
      <c r="BE34" s="725"/>
      <c r="BF34" s="725"/>
      <c r="BG34" s="725"/>
      <c r="BH34" s="725"/>
      <c r="BI34" s="725"/>
      <c r="BJ34" s="725"/>
      <c r="BK34" s="725"/>
      <c r="BL34" s="725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5"/>
      <c r="CF34" s="725"/>
      <c r="CG34" s="725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5"/>
      <c r="CW34" s="725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5"/>
      <c r="DN34" s="725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5"/>
      <c r="EC34" s="725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/>
      <c r="EP34" s="725"/>
      <c r="EQ34" s="725"/>
      <c r="ER34" s="725"/>
      <c r="ES34" s="725"/>
      <c r="ET34" s="725"/>
      <c r="EU34" s="725"/>
      <c r="EV34" s="725"/>
      <c r="EW34" s="725"/>
      <c r="EX34" s="725"/>
    </row>
    <row r="35" spans="1:16" s="265" customFormat="1" ht="15" customHeight="1">
      <c r="A35" s="591" t="s">
        <v>339</v>
      </c>
      <c r="B35" s="1666">
        <f>SUM(B36:B37)</f>
        <v>52762797</v>
      </c>
      <c r="C35" s="1675"/>
      <c r="D35" s="1666">
        <f>SUM(D36:D37)</f>
        <v>0</v>
      </c>
      <c r="E35" s="1668"/>
      <c r="N35" s="1669">
        <f>N36+N37</f>
        <v>0</v>
      </c>
      <c r="O35" s="1670"/>
      <c r="P35" s="1671"/>
    </row>
    <row r="36" spans="1:16" ht="15" customHeight="1">
      <c r="A36" s="261" t="s">
        <v>340</v>
      </c>
      <c r="B36" s="1669">
        <f>'Anexo 1 _ BAL ORC'!C45</f>
        <v>52762797</v>
      </c>
      <c r="C36" s="1674"/>
      <c r="D36" s="1690">
        <v>0</v>
      </c>
      <c r="E36" s="1691"/>
      <c r="N36" s="1669"/>
      <c r="O36" s="1670"/>
      <c r="P36" s="1671"/>
    </row>
    <row r="37" spans="1:20" ht="15" customHeight="1">
      <c r="A37" s="261" t="s">
        <v>341</v>
      </c>
      <c r="B37" s="1669">
        <v>0</v>
      </c>
      <c r="C37" s="1674"/>
      <c r="D37" s="1690">
        <v>0</v>
      </c>
      <c r="E37" s="1691"/>
      <c r="N37" s="1669"/>
      <c r="O37" s="1670"/>
      <c r="P37" s="1671"/>
      <c r="T37" s="543"/>
    </row>
    <row r="38" spans="1:16" ht="15" customHeight="1">
      <c r="A38" s="264" t="s">
        <v>231</v>
      </c>
      <c r="B38" s="1706">
        <v>0</v>
      </c>
      <c r="C38" s="1707"/>
      <c r="D38" s="1690">
        <v>0</v>
      </c>
      <c r="E38" s="1691"/>
      <c r="N38" s="1669"/>
      <c r="O38" s="1670"/>
      <c r="P38" s="1671"/>
    </row>
    <row r="39" spans="1:16" ht="15" customHeight="1">
      <c r="A39" s="266" t="s">
        <v>342</v>
      </c>
      <c r="B39" s="1672">
        <f>B31-B32-B33-B34</f>
        <v>52762797</v>
      </c>
      <c r="C39" s="1673"/>
      <c r="D39" s="1692">
        <f>D31-D32-D33-D34</f>
        <v>2.255546860396862E-10</v>
      </c>
      <c r="E39" s="1692"/>
      <c r="N39" s="1693">
        <f>N31-N32-N33-N34</f>
        <v>-9.322320693172514E-11</v>
      </c>
      <c r="O39" s="1694"/>
      <c r="P39" s="1694"/>
    </row>
    <row r="40" spans="1:20" ht="15" customHeight="1">
      <c r="A40" s="269" t="s">
        <v>343</v>
      </c>
      <c r="B40" s="1672">
        <f>B10+B39</f>
        <v>2491624380.13</v>
      </c>
      <c r="C40" s="1673"/>
      <c r="D40" s="1692">
        <f>D10+D39</f>
        <v>757935534.85</v>
      </c>
      <c r="E40" s="1692"/>
      <c r="N40" s="1695">
        <f>N10+N39</f>
        <v>749328263.65</v>
      </c>
      <c r="O40" s="1696"/>
      <c r="P40" s="1696"/>
      <c r="T40" s="540"/>
    </row>
    <row r="41" spans="1:5" ht="15" customHeight="1">
      <c r="A41" s="270"/>
      <c r="B41" s="271"/>
      <c r="C41" s="272"/>
      <c r="D41" s="272"/>
      <c r="E41" s="1074"/>
    </row>
    <row r="42" spans="1:16" ht="15" customHeight="1">
      <c r="A42" s="1711" t="s">
        <v>344</v>
      </c>
      <c r="B42" s="1712" t="s">
        <v>345</v>
      </c>
      <c r="C42" s="1713" t="s">
        <v>646</v>
      </c>
      <c r="D42" s="1714"/>
      <c r="E42" s="1715" t="s">
        <v>855</v>
      </c>
      <c r="F42" s="1716"/>
      <c r="G42" s="1716"/>
      <c r="H42" s="1716"/>
      <c r="I42" s="1716"/>
      <c r="J42" s="1716"/>
      <c r="K42" s="1716"/>
      <c r="L42" s="1716"/>
      <c r="M42" s="1716"/>
      <c r="N42" s="1717"/>
      <c r="O42" s="1718" t="s">
        <v>239</v>
      </c>
      <c r="P42" s="1719"/>
    </row>
    <row r="43" spans="1:16" ht="25.5" customHeight="1">
      <c r="A43" s="1711"/>
      <c r="B43" s="1712"/>
      <c r="C43" s="254" t="s">
        <v>103</v>
      </c>
      <c r="D43" s="254" t="s">
        <v>823</v>
      </c>
      <c r="E43" s="1160" t="s">
        <v>847</v>
      </c>
      <c r="F43" s="728"/>
      <c r="N43" s="1160" t="s">
        <v>823</v>
      </c>
      <c r="O43" s="1160" t="s">
        <v>847</v>
      </c>
      <c r="P43" s="1160" t="s">
        <v>823</v>
      </c>
    </row>
    <row r="44" spans="1:21" ht="15" customHeight="1">
      <c r="A44" s="273" t="s">
        <v>346</v>
      </c>
      <c r="B44" s="274">
        <f>B45+B46+B47</f>
        <v>2239255860.99</v>
      </c>
      <c r="C44" s="274">
        <f>C45+C46+C47</f>
        <v>1440673186.54</v>
      </c>
      <c r="D44" s="275">
        <f>D45+D46+D47</f>
        <v>1219060116.56</v>
      </c>
      <c r="E44" s="1075">
        <f>E45+E46+E47</f>
        <v>643907404.9300001</v>
      </c>
      <c r="F44" s="728"/>
      <c r="N44" s="1075">
        <f>N45+N46+N47</f>
        <v>536812870.51</v>
      </c>
      <c r="O44" s="1356"/>
      <c r="P44" s="1075">
        <f>P45+P46+P47</f>
        <v>0</v>
      </c>
      <c r="U44" s="540"/>
    </row>
    <row r="45" spans="1:20" ht="15" customHeight="1">
      <c r="A45" s="264" t="s">
        <v>347</v>
      </c>
      <c r="B45" s="276">
        <f>'Anexo 1 _ BAL ORC'!C74</f>
        <v>1034816350.5900002</v>
      </c>
      <c r="C45" s="276">
        <f>'Anexo 1 _ BAL ORC'!E74</f>
        <v>737099420.3800001</v>
      </c>
      <c r="D45" s="276">
        <v>654134931.51</v>
      </c>
      <c r="E45" s="1073">
        <f>'Anexo 1 _ BAL ORC'!H74</f>
        <v>328270225.46000004</v>
      </c>
      <c r="F45" s="728"/>
      <c r="N45" s="1271">
        <v>278458476.38</v>
      </c>
      <c r="O45" s="1076"/>
      <c r="P45" s="1162"/>
      <c r="T45" s="1131"/>
    </row>
    <row r="46" spans="1:20" ht="15" customHeight="1">
      <c r="A46" s="264" t="s">
        <v>348</v>
      </c>
      <c r="B46" s="276">
        <f>'Anexo 1 _ BAL ORC'!C75</f>
        <v>9955672</v>
      </c>
      <c r="C46" s="276">
        <f>'Anexo 1 _ BAL ORC'!E75</f>
        <v>5285265.63</v>
      </c>
      <c r="D46" s="276">
        <v>4573053.64</v>
      </c>
      <c r="E46" s="1073">
        <f>'Anexo 1 _ BAL ORC'!H75</f>
        <v>2292141.03</v>
      </c>
      <c r="F46" s="728"/>
      <c r="N46" s="1271">
        <v>1815771.15</v>
      </c>
      <c r="O46" s="1076"/>
      <c r="P46" s="1162"/>
      <c r="T46" s="1131"/>
    </row>
    <row r="47" spans="1:20" ht="15" customHeight="1">
      <c r="A47" s="264" t="s">
        <v>249</v>
      </c>
      <c r="B47" s="276">
        <f>'Anexo 1 _ BAL ORC'!C76</f>
        <v>1194483838.3999999</v>
      </c>
      <c r="C47" s="276">
        <f>'Anexo 1 _ BAL ORC'!E76</f>
        <v>698288500.53</v>
      </c>
      <c r="D47" s="276">
        <v>560352131.41</v>
      </c>
      <c r="E47" s="1073">
        <f>'Anexo 1 _ BAL ORC'!H76</f>
        <v>313345038.44</v>
      </c>
      <c r="F47" s="728"/>
      <c r="N47" s="1270">
        <v>256538622.98</v>
      </c>
      <c r="O47" s="1076"/>
      <c r="P47" s="1162"/>
      <c r="T47" s="1131"/>
    </row>
    <row r="48" spans="1:20" ht="15" customHeight="1">
      <c r="A48" s="273" t="s">
        <v>349</v>
      </c>
      <c r="B48" s="274">
        <f>B44-B46</f>
        <v>2229300188.99</v>
      </c>
      <c r="C48" s="274">
        <f aca="true" t="shared" si="0" ref="C48:P48">C44-C46</f>
        <v>1435387920.9099998</v>
      </c>
      <c r="D48" s="274">
        <f t="shared" si="0"/>
        <v>1214487062.9199998</v>
      </c>
      <c r="E48" s="274">
        <f t="shared" si="0"/>
        <v>641615263.9000001</v>
      </c>
      <c r="F48" s="274">
        <f t="shared" si="0"/>
        <v>0</v>
      </c>
      <c r="G48" s="274">
        <f t="shared" si="0"/>
        <v>0</v>
      </c>
      <c r="H48" s="274">
        <f t="shared" si="0"/>
        <v>0</v>
      </c>
      <c r="I48" s="274">
        <f t="shared" si="0"/>
        <v>0</v>
      </c>
      <c r="J48" s="274">
        <f t="shared" si="0"/>
        <v>0</v>
      </c>
      <c r="K48" s="274">
        <f t="shared" si="0"/>
        <v>0</v>
      </c>
      <c r="L48" s="274">
        <f t="shared" si="0"/>
        <v>0</v>
      </c>
      <c r="M48" s="274">
        <f t="shared" si="0"/>
        <v>0</v>
      </c>
      <c r="N48" s="274">
        <f t="shared" si="0"/>
        <v>534997099.36</v>
      </c>
      <c r="O48" s="1356"/>
      <c r="P48" s="274">
        <f t="shared" si="0"/>
        <v>0</v>
      </c>
      <c r="T48" s="1131"/>
    </row>
    <row r="49" spans="1:20" ht="15" customHeight="1">
      <c r="A49" s="729" t="s">
        <v>350</v>
      </c>
      <c r="B49" s="263">
        <f>B50+B51+B55</f>
        <v>348016821.22</v>
      </c>
      <c r="C49" s="263">
        <f aca="true" t="shared" si="1" ref="C49:P49">C50+C51+C55</f>
        <v>77377430.13</v>
      </c>
      <c r="D49" s="263">
        <f t="shared" si="1"/>
        <v>81817049.12</v>
      </c>
      <c r="E49" s="263">
        <f t="shared" si="1"/>
        <v>28284632.67</v>
      </c>
      <c r="F49" s="263">
        <f t="shared" si="1"/>
        <v>0</v>
      </c>
      <c r="G49" s="263">
        <f t="shared" si="1"/>
        <v>0</v>
      </c>
      <c r="H49" s="263">
        <f t="shared" si="1"/>
        <v>0</v>
      </c>
      <c r="I49" s="263">
        <f t="shared" si="1"/>
        <v>0</v>
      </c>
      <c r="J49" s="263">
        <f t="shared" si="1"/>
        <v>0</v>
      </c>
      <c r="K49" s="263">
        <f t="shared" si="1"/>
        <v>0</v>
      </c>
      <c r="L49" s="263">
        <f t="shared" si="1"/>
        <v>0</v>
      </c>
      <c r="M49" s="263">
        <f t="shared" si="1"/>
        <v>0</v>
      </c>
      <c r="N49" s="263">
        <f t="shared" si="1"/>
        <v>24104590.2</v>
      </c>
      <c r="O49" s="1356"/>
      <c r="P49" s="263">
        <f t="shared" si="1"/>
        <v>0</v>
      </c>
      <c r="T49" s="1131"/>
    </row>
    <row r="50" spans="1:20" ht="15" customHeight="1">
      <c r="A50" s="264" t="s">
        <v>351</v>
      </c>
      <c r="B50" s="257">
        <f>'Anexo 1 _ BAL ORC'!C78</f>
        <v>299200693.22</v>
      </c>
      <c r="C50" s="276">
        <f>'Anexo 1 _ BAL ORC'!E78</f>
        <v>53140384.27</v>
      </c>
      <c r="D50" s="276">
        <v>56478963.75</v>
      </c>
      <c r="E50" s="1076">
        <f>'Anexo 1 _ BAL ORC'!H78</f>
        <v>19729385.1</v>
      </c>
      <c r="F50" s="728"/>
      <c r="N50" s="1270">
        <v>12361233.61</v>
      </c>
      <c r="O50" s="1076"/>
      <c r="P50" s="1162"/>
      <c r="T50" s="1131"/>
    </row>
    <row r="51" spans="1:20" s="265" customFormat="1" ht="15" customHeight="1">
      <c r="A51" s="591" t="s">
        <v>352</v>
      </c>
      <c r="B51" s="263">
        <f>B52+B53+B54</f>
        <v>131800</v>
      </c>
      <c r="C51" s="263">
        <f aca="true" t="shared" si="2" ref="C51:P51">C52+C53+C54</f>
        <v>0</v>
      </c>
      <c r="D51" s="263">
        <f t="shared" si="2"/>
        <v>0</v>
      </c>
      <c r="E51" s="263">
        <f t="shared" si="2"/>
        <v>0</v>
      </c>
      <c r="F51" s="263">
        <f t="shared" si="2"/>
        <v>0</v>
      </c>
      <c r="G51" s="263">
        <f t="shared" si="2"/>
        <v>0</v>
      </c>
      <c r="H51" s="263">
        <f t="shared" si="2"/>
        <v>0</v>
      </c>
      <c r="I51" s="263">
        <f t="shared" si="2"/>
        <v>0</v>
      </c>
      <c r="J51" s="263">
        <f t="shared" si="2"/>
        <v>0</v>
      </c>
      <c r="K51" s="263">
        <f t="shared" si="2"/>
        <v>0</v>
      </c>
      <c r="L51" s="263">
        <f t="shared" si="2"/>
        <v>0</v>
      </c>
      <c r="M51" s="263">
        <f t="shared" si="2"/>
        <v>0</v>
      </c>
      <c r="N51" s="1270">
        <f t="shared" si="2"/>
        <v>0</v>
      </c>
      <c r="O51" s="1076"/>
      <c r="P51" s="263">
        <f t="shared" si="2"/>
        <v>0</v>
      </c>
      <c r="T51" s="1131"/>
    </row>
    <row r="52" spans="1:20" ht="15" customHeight="1">
      <c r="A52" s="261" t="s">
        <v>353</v>
      </c>
      <c r="B52" s="257">
        <v>0</v>
      </c>
      <c r="C52" s="257">
        <v>0</v>
      </c>
      <c r="D52" s="258">
        <v>0</v>
      </c>
      <c r="E52" s="1077">
        <v>0</v>
      </c>
      <c r="F52" s="728"/>
      <c r="N52" s="1270"/>
      <c r="O52" s="1076"/>
      <c r="P52" s="1162"/>
      <c r="T52" s="1131"/>
    </row>
    <row r="53" spans="1:20" ht="15" customHeight="1">
      <c r="A53" s="261" t="s">
        <v>354</v>
      </c>
      <c r="B53" s="257">
        <v>0</v>
      </c>
      <c r="C53" s="257">
        <v>0</v>
      </c>
      <c r="D53" s="258">
        <v>0</v>
      </c>
      <c r="E53" s="1077">
        <v>0</v>
      </c>
      <c r="F53" s="728"/>
      <c r="N53" s="1270"/>
      <c r="O53" s="1076"/>
      <c r="P53" s="1162"/>
      <c r="T53" s="543"/>
    </row>
    <row r="54" spans="1:16" ht="15" customHeight="1">
      <c r="A54" s="261" t="s">
        <v>355</v>
      </c>
      <c r="B54" s="257">
        <f>'Anexo 1 _ BAL ORC'!C79</f>
        <v>131800</v>
      </c>
      <c r="C54" s="276">
        <f>'Anexo 1 _ BAL ORC'!E79</f>
        <v>0</v>
      </c>
      <c r="D54" s="276"/>
      <c r="E54" s="1073">
        <f>'Anexo 1 _ BAL ORC'!H79</f>
        <v>0</v>
      </c>
      <c r="F54" s="728"/>
      <c r="N54" s="1270"/>
      <c r="O54" s="1076"/>
      <c r="P54" s="1162"/>
    </row>
    <row r="55" spans="1:20" ht="15" customHeight="1">
      <c r="A55" s="264" t="s">
        <v>356</v>
      </c>
      <c r="B55" s="257">
        <f>'Anexo 1 _ BAL ORC'!C80</f>
        <v>48684328</v>
      </c>
      <c r="C55" s="257">
        <f>'Anexo 1 _ BAL ORC'!E80</f>
        <v>24237045.86</v>
      </c>
      <c r="D55" s="276">
        <v>25338085.37</v>
      </c>
      <c r="E55" s="1073">
        <f>'Anexo 1 _ BAL ORC'!H80</f>
        <v>8555247.57</v>
      </c>
      <c r="F55" s="728"/>
      <c r="N55" s="1270">
        <v>11743356.59</v>
      </c>
      <c r="O55" s="1076"/>
      <c r="P55" s="1162"/>
      <c r="T55" s="1131"/>
    </row>
    <row r="56" spans="1:20" ht="15" customHeight="1">
      <c r="A56" s="729" t="s">
        <v>357</v>
      </c>
      <c r="B56" s="263">
        <f>B49-B52-B53-B55</f>
        <v>299332493.22</v>
      </c>
      <c r="C56" s="263">
        <f aca="true" t="shared" si="3" ref="C56:P56">C49-C52-C53-C55</f>
        <v>53140384.269999996</v>
      </c>
      <c r="D56" s="263">
        <f t="shared" si="3"/>
        <v>56478963.75</v>
      </c>
      <c r="E56" s="263">
        <f t="shared" si="3"/>
        <v>19729385.1</v>
      </c>
      <c r="F56" s="263">
        <f t="shared" si="3"/>
        <v>0</v>
      </c>
      <c r="G56" s="263">
        <f t="shared" si="3"/>
        <v>0</v>
      </c>
      <c r="H56" s="263">
        <f t="shared" si="3"/>
        <v>0</v>
      </c>
      <c r="I56" s="263">
        <f t="shared" si="3"/>
        <v>0</v>
      </c>
      <c r="J56" s="263">
        <f t="shared" si="3"/>
        <v>0</v>
      </c>
      <c r="K56" s="263">
        <f t="shared" si="3"/>
        <v>0</v>
      </c>
      <c r="L56" s="263">
        <f t="shared" si="3"/>
        <v>0</v>
      </c>
      <c r="M56" s="263">
        <f t="shared" si="3"/>
        <v>0</v>
      </c>
      <c r="N56" s="1272">
        <f t="shared" si="3"/>
        <v>12361233.61</v>
      </c>
      <c r="O56" s="1076"/>
      <c r="P56" s="263">
        <f t="shared" si="3"/>
        <v>0</v>
      </c>
      <c r="T56" s="540"/>
    </row>
    <row r="57" spans="1:22" ht="15" customHeight="1">
      <c r="A57" s="729" t="s">
        <v>358</v>
      </c>
      <c r="B57" s="257">
        <f>'Anexo 1 _ BAL ORC'!D81</f>
        <v>0</v>
      </c>
      <c r="C57" s="276">
        <f>'Anexo 1 _ BAL ORC'!E81</f>
        <v>0</v>
      </c>
      <c r="D57" s="276">
        <v>0</v>
      </c>
      <c r="E57" s="1033">
        <f>'Anexo 1 _ BAL ORC'!H81</f>
        <v>0</v>
      </c>
      <c r="F57" s="728"/>
      <c r="N57" s="1270"/>
      <c r="O57" s="1076"/>
      <c r="P57" s="1162"/>
      <c r="T57" s="540"/>
      <c r="V57" s="540"/>
    </row>
    <row r="58" spans="1:16" ht="15" customHeight="1">
      <c r="A58" s="729" t="s">
        <v>359</v>
      </c>
      <c r="B58" s="257">
        <f>'Anexo 1 _ BAL ORC'!D82</f>
        <v>0</v>
      </c>
      <c r="C58" s="276">
        <f>'Anexo 1 _ BAL ORC'!E82</f>
        <v>0</v>
      </c>
      <c r="D58" s="276">
        <v>0</v>
      </c>
      <c r="E58" s="1078">
        <f>'Anexo 1 _ BAL ORC'!H82</f>
        <v>0</v>
      </c>
      <c r="F58" s="728"/>
      <c r="N58" s="1270"/>
      <c r="O58" s="1357"/>
      <c r="P58" s="1163"/>
    </row>
    <row r="59" spans="1:16" ht="15" customHeight="1">
      <c r="A59" s="277" t="s">
        <v>360</v>
      </c>
      <c r="B59" s="267">
        <f>B48+B56+B57+B58</f>
        <v>2528632682.21</v>
      </c>
      <c r="C59" s="267">
        <f aca="true" t="shared" si="4" ref="C59:P59">C48+C56+C57+C58</f>
        <v>1488528305.1799998</v>
      </c>
      <c r="D59" s="267">
        <f t="shared" si="4"/>
        <v>1270966026.6699998</v>
      </c>
      <c r="E59" s="267">
        <f t="shared" si="4"/>
        <v>661344649.0000001</v>
      </c>
      <c r="F59" s="267">
        <f t="shared" si="4"/>
        <v>0</v>
      </c>
      <c r="G59" s="267">
        <f t="shared" si="4"/>
        <v>0</v>
      </c>
      <c r="H59" s="267">
        <f t="shared" si="4"/>
        <v>0</v>
      </c>
      <c r="I59" s="267">
        <f t="shared" si="4"/>
        <v>0</v>
      </c>
      <c r="J59" s="267">
        <f t="shared" si="4"/>
        <v>0</v>
      </c>
      <c r="K59" s="267">
        <f t="shared" si="4"/>
        <v>0</v>
      </c>
      <c r="L59" s="267">
        <f t="shared" si="4"/>
        <v>0</v>
      </c>
      <c r="M59" s="267">
        <f t="shared" si="4"/>
        <v>0</v>
      </c>
      <c r="N59" s="267">
        <f t="shared" si="4"/>
        <v>547358332.97</v>
      </c>
      <c r="O59" s="1076">
        <f t="shared" si="4"/>
        <v>0</v>
      </c>
      <c r="P59" s="267">
        <f t="shared" si="4"/>
        <v>0</v>
      </c>
    </row>
    <row r="60" spans="1:16" ht="15" customHeight="1">
      <c r="A60" s="278"/>
      <c r="B60" s="279"/>
      <c r="C60" s="279"/>
      <c r="D60" s="279"/>
      <c r="E60" s="1079"/>
      <c r="F60" s="728"/>
      <c r="N60" s="1161"/>
      <c r="O60" s="1355"/>
      <c r="P60" s="1161"/>
    </row>
    <row r="61" spans="1:16" s="281" customFormat="1" ht="15" customHeight="1">
      <c r="A61" s="280" t="s">
        <v>361</v>
      </c>
      <c r="B61" s="268">
        <f>B40-B59</f>
        <v>-37008302.07999992</v>
      </c>
      <c r="C61" s="268">
        <f>D40-C59</f>
        <v>-730592770.3299998</v>
      </c>
      <c r="D61" s="268">
        <f>N40-D59</f>
        <v>-521637763.01999986</v>
      </c>
      <c r="E61" s="268">
        <f>D40-E59</f>
        <v>96590885.8499999</v>
      </c>
      <c r="F61" s="268">
        <f aca="true" t="shared" si="5" ref="F61:N61">F40-F59</f>
        <v>0</v>
      </c>
      <c r="G61" s="268">
        <f t="shared" si="5"/>
        <v>0</v>
      </c>
      <c r="H61" s="268">
        <f t="shared" si="5"/>
        <v>0</v>
      </c>
      <c r="I61" s="268">
        <f t="shared" si="5"/>
        <v>0</v>
      </c>
      <c r="J61" s="268">
        <f t="shared" si="5"/>
        <v>0</v>
      </c>
      <c r="K61" s="268">
        <f t="shared" si="5"/>
        <v>0</v>
      </c>
      <c r="L61" s="268">
        <f t="shared" si="5"/>
        <v>0</v>
      </c>
      <c r="M61" s="268">
        <f t="shared" si="5"/>
        <v>0</v>
      </c>
      <c r="N61" s="268">
        <f t="shared" si="5"/>
        <v>201969930.67999995</v>
      </c>
      <c r="O61" s="268"/>
      <c r="P61" s="1273"/>
    </row>
    <row r="62" spans="1:6" ht="15" customHeight="1">
      <c r="A62" s="278"/>
      <c r="B62" s="271"/>
      <c r="C62" s="270"/>
      <c r="D62" s="270"/>
      <c r="E62" s="270"/>
      <c r="F62" s="728"/>
    </row>
    <row r="63" spans="1:16" ht="15" customHeight="1">
      <c r="A63" s="278" t="s">
        <v>362</v>
      </c>
      <c r="B63" s="282">
        <v>0</v>
      </c>
      <c r="C63" s="282">
        <v>0</v>
      </c>
      <c r="D63" s="282">
        <v>0</v>
      </c>
      <c r="E63" s="1080">
        <v>0</v>
      </c>
      <c r="F63" s="728"/>
      <c r="N63" s="1166">
        <v>0</v>
      </c>
      <c r="O63" s="1354">
        <v>0</v>
      </c>
      <c r="P63" s="1166">
        <v>0</v>
      </c>
    </row>
    <row r="64" spans="1:6" ht="15" customHeight="1">
      <c r="A64" s="283"/>
      <c r="B64" s="284"/>
      <c r="C64" s="285"/>
      <c r="D64" s="285"/>
      <c r="E64" s="285"/>
      <c r="F64" s="728"/>
    </row>
    <row r="65" spans="1:16" ht="15" customHeight="1">
      <c r="A65" s="1678" t="s">
        <v>309</v>
      </c>
      <c r="B65" s="1679"/>
      <c r="C65" s="1679"/>
      <c r="D65" s="1679"/>
      <c r="E65" s="1680"/>
      <c r="F65" s="728"/>
      <c r="N65" s="1684" t="s">
        <v>857</v>
      </c>
      <c r="O65" s="1685"/>
      <c r="P65" s="1686"/>
    </row>
    <row r="66" spans="1:22" ht="15" customHeight="1">
      <c r="A66" s="1681"/>
      <c r="B66" s="1682"/>
      <c r="C66" s="1682"/>
      <c r="D66" s="1682"/>
      <c r="E66" s="1683"/>
      <c r="F66" s="728"/>
      <c r="N66" s="1687"/>
      <c r="O66" s="1688"/>
      <c r="P66" s="1689"/>
      <c r="V66" s="540"/>
    </row>
    <row r="67" spans="1:20" ht="15" customHeight="1">
      <c r="A67" s="1662" t="s">
        <v>856</v>
      </c>
      <c r="B67" s="1663"/>
      <c r="C67" s="1663"/>
      <c r="D67" s="1663"/>
      <c r="E67" s="1663"/>
      <c r="F67" s="1164"/>
      <c r="G67" s="1164"/>
      <c r="H67" s="1164"/>
      <c r="I67" s="1164"/>
      <c r="J67" s="1164"/>
      <c r="K67" s="1164"/>
      <c r="L67" s="1164"/>
      <c r="M67" s="1164"/>
      <c r="N67" s="1664">
        <v>-92659180</v>
      </c>
      <c r="O67" s="1665"/>
      <c r="P67" s="1665"/>
      <c r="T67" s="1297"/>
    </row>
    <row r="68" spans="1:15" s="244" customFormat="1" ht="15" customHeight="1">
      <c r="A68" s="175" t="str">
        <f>'Anexo 5 _ RES NOM'!A44</f>
        <v>FONTE: SECRETARIA MUNICIPAL DA FAZENDA</v>
      </c>
      <c r="B68" s="286"/>
      <c r="C68" s="286"/>
      <c r="D68" s="216"/>
      <c r="E68" s="216"/>
      <c r="O68" s="288"/>
    </row>
    <row r="69" spans="1:23" s="244" customFormat="1" ht="15" customHeight="1">
      <c r="A69" s="175" t="str">
        <f>'Anexo 5 _ RES NOM'!A45</f>
        <v>  São Luís, 22 de Maio de 2015</v>
      </c>
      <c r="B69" s="286"/>
      <c r="C69" s="286"/>
      <c r="D69" s="216"/>
      <c r="E69" s="216"/>
      <c r="O69" s="288"/>
      <c r="W69" s="541"/>
    </row>
    <row r="70" spans="1:15" s="244" customFormat="1" ht="15" customHeight="1">
      <c r="A70" s="287"/>
      <c r="B70" s="168"/>
      <c r="C70" s="159"/>
      <c r="D70" s="159"/>
      <c r="E70" s="877"/>
      <c r="O70" s="288"/>
    </row>
    <row r="71" spans="1:5" s="288" customFormat="1" ht="12.75" customHeight="1">
      <c r="A71" s="224"/>
      <c r="B71" s="113"/>
      <c r="C71" s="113"/>
      <c r="D71" s="113"/>
      <c r="E71" s="224"/>
    </row>
    <row r="73" ht="15" customHeight="1">
      <c r="E73" s="1093"/>
    </row>
    <row r="85" ht="15" customHeight="1">
      <c r="E85" s="1094"/>
    </row>
    <row r="86" ht="15" customHeight="1">
      <c r="E86" s="1092"/>
    </row>
    <row r="87" ht="15" customHeight="1">
      <c r="E87" s="1092"/>
    </row>
    <row r="88" ht="15" customHeight="1">
      <c r="E88" s="1092"/>
    </row>
    <row r="89" ht="15" customHeight="1">
      <c r="E89" s="1092"/>
    </row>
    <row r="90" ht="15" customHeight="1">
      <c r="E90" s="1095"/>
    </row>
  </sheetData>
  <sheetProtection/>
  <mergeCells count="109">
    <mergeCell ref="A1:E1"/>
    <mergeCell ref="A2:E2"/>
    <mergeCell ref="A8:A9"/>
    <mergeCell ref="D17:E17"/>
    <mergeCell ref="D18:E18"/>
    <mergeCell ref="D19:E19"/>
    <mergeCell ref="D9:E9"/>
    <mergeCell ref="B13:C13"/>
    <mergeCell ref="B14:C14"/>
    <mergeCell ref="B15:C15"/>
    <mergeCell ref="A42:A43"/>
    <mergeCell ref="B42:B43"/>
    <mergeCell ref="C42:D42"/>
    <mergeCell ref="E42:N42"/>
    <mergeCell ref="O42:P42"/>
    <mergeCell ref="B8:C9"/>
    <mergeCell ref="B10:C10"/>
    <mergeCell ref="B11:C11"/>
    <mergeCell ref="B12:C12"/>
    <mergeCell ref="D16:E1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D11:E11"/>
    <mergeCell ref="D12:E12"/>
    <mergeCell ref="D13:E13"/>
    <mergeCell ref="D14:E14"/>
    <mergeCell ref="D15:E15"/>
    <mergeCell ref="D31:E31"/>
    <mergeCell ref="D20:E20"/>
    <mergeCell ref="D21:E21"/>
    <mergeCell ref="D23:E23"/>
    <mergeCell ref="D24:E24"/>
    <mergeCell ref="D25:E25"/>
    <mergeCell ref="D8:P8"/>
    <mergeCell ref="D32:E32"/>
    <mergeCell ref="N13:P13"/>
    <mergeCell ref="N14:P14"/>
    <mergeCell ref="N15:P15"/>
    <mergeCell ref="N16:P16"/>
    <mergeCell ref="D10:E10"/>
    <mergeCell ref="N10:P10"/>
    <mergeCell ref="N11:P11"/>
    <mergeCell ref="N12:P12"/>
    <mergeCell ref="D37:E37"/>
    <mergeCell ref="D30:E30"/>
    <mergeCell ref="D33:E33"/>
    <mergeCell ref="D34:E34"/>
    <mergeCell ref="D35:E35"/>
    <mergeCell ref="D36:E36"/>
    <mergeCell ref="D26:E26"/>
    <mergeCell ref="N22:P22"/>
    <mergeCell ref="D22:E22"/>
    <mergeCell ref="D38:E38"/>
    <mergeCell ref="D39:E39"/>
    <mergeCell ref="D40:E40"/>
    <mergeCell ref="N39:P39"/>
    <mergeCell ref="N40:P40"/>
    <mergeCell ref="D27:E27"/>
    <mergeCell ref="D28:E28"/>
    <mergeCell ref="D29:E29"/>
    <mergeCell ref="N25:P25"/>
    <mergeCell ref="N26:P26"/>
    <mergeCell ref="N27:P27"/>
    <mergeCell ref="N28:P28"/>
    <mergeCell ref="N29:P29"/>
    <mergeCell ref="N17:P17"/>
    <mergeCell ref="N18:P18"/>
    <mergeCell ref="N19:P19"/>
    <mergeCell ref="N20:P20"/>
    <mergeCell ref="N21:P21"/>
    <mergeCell ref="N9:P9"/>
    <mergeCell ref="N37:P37"/>
    <mergeCell ref="N38:P38"/>
    <mergeCell ref="A65:E66"/>
    <mergeCell ref="N65:P66"/>
    <mergeCell ref="N23:P23"/>
    <mergeCell ref="N24:P24"/>
    <mergeCell ref="N34:P34"/>
    <mergeCell ref="N35:P35"/>
    <mergeCell ref="N36:P36"/>
    <mergeCell ref="A67:E67"/>
    <mergeCell ref="N67:P67"/>
    <mergeCell ref="N31:P31"/>
    <mergeCell ref="N32:P32"/>
    <mergeCell ref="N33:P33"/>
    <mergeCell ref="N30:P30"/>
    <mergeCell ref="B40:C40"/>
    <mergeCell ref="B34:C34"/>
    <mergeCell ref="B35:C35"/>
    <mergeCell ref="B36:C36"/>
  </mergeCells>
  <printOptions horizontalCentered="1"/>
  <pageMargins left="0.5118110236220472" right="0.2755905511811024" top="0.5905511811023623" bottom="0.3937007874015748" header="0.5118110236220472" footer="0.1968503937007874"/>
  <pageSetup fitToHeight="1" fitToWidth="1" horizontalDpi="600" verticalDpi="600" orientation="portrait" paperSize="9" scale="64" r:id="rId4"/>
  <headerFooter alignWithMargins="0">
    <oddFooter>&amp;C&amp;A</oddFooter>
  </headerFooter>
  <ignoredErrors>
    <ignoredError sqref="D35" formulaRange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289" customWidth="1"/>
    <col min="2" max="4" width="17.28125" style="289" customWidth="1"/>
    <col min="5" max="5" width="17.28125" style="290" customWidth="1"/>
    <col min="6" max="7" width="17.28125" style="289" customWidth="1"/>
    <col min="8" max="16384" width="7.8515625" style="289" customWidth="1"/>
  </cols>
  <sheetData>
    <row r="1" spans="1:7" ht="11.25">
      <c r="A1" s="1728" t="s">
        <v>363</v>
      </c>
      <c r="B1" s="1728"/>
      <c r="C1" s="1728"/>
      <c r="D1" s="1728"/>
      <c r="E1" s="1728"/>
      <c r="F1" s="1728"/>
      <c r="G1" s="178" t="s">
        <v>364</v>
      </c>
    </row>
    <row r="2" spans="1:7" ht="11.25">
      <c r="A2" s="1728" t="s">
        <v>0</v>
      </c>
      <c r="B2" s="1728"/>
      <c r="C2" s="1728"/>
      <c r="D2" s="1728"/>
      <c r="E2" s="1728"/>
      <c r="F2" s="1728"/>
      <c r="G2" s="1728"/>
    </row>
    <row r="3" spans="1:7" ht="11.25">
      <c r="A3" s="1730" t="s">
        <v>365</v>
      </c>
      <c r="B3" s="1730"/>
      <c r="C3" s="1730"/>
      <c r="D3" s="1730"/>
      <c r="E3" s="1730"/>
      <c r="F3" s="1730"/>
      <c r="G3" s="1730"/>
    </row>
    <row r="4" spans="1:7" ht="11.25">
      <c r="A4" s="1728" t="s">
        <v>212</v>
      </c>
      <c r="B4" s="1728"/>
      <c r="C4" s="1728"/>
      <c r="D4" s="1728"/>
      <c r="E4" s="1728"/>
      <c r="F4" s="1728"/>
      <c r="G4" s="1728"/>
    </row>
    <row r="5" spans="1:7" ht="11.25">
      <c r="A5" s="1728" t="s">
        <v>366</v>
      </c>
      <c r="B5" s="1728"/>
      <c r="C5" s="1728"/>
      <c r="D5" s="1728"/>
      <c r="E5" s="1728"/>
      <c r="F5" s="1728"/>
      <c r="G5" s="1728"/>
    </row>
    <row r="6" spans="1:7" ht="11.25">
      <c r="A6" s="244"/>
      <c r="B6" s="244"/>
      <c r="C6" s="244"/>
      <c r="D6" s="244"/>
      <c r="E6" s="244"/>
      <c r="F6" s="244"/>
      <c r="G6" s="244"/>
    </row>
    <row r="8" ht="12.75" customHeight="1">
      <c r="A8" s="289" t="s">
        <v>367</v>
      </c>
    </row>
    <row r="9" spans="1:7" s="293" customFormat="1" ht="36" customHeight="1">
      <c r="A9" s="1729" t="s">
        <v>368</v>
      </c>
      <c r="B9" s="291" t="s">
        <v>369</v>
      </c>
      <c r="C9" s="291" t="s">
        <v>370</v>
      </c>
      <c r="D9" s="291" t="s">
        <v>371</v>
      </c>
      <c r="E9" s="291" t="s">
        <v>372</v>
      </c>
      <c r="F9" s="291" t="s">
        <v>373</v>
      </c>
      <c r="G9" s="292" t="s">
        <v>374</v>
      </c>
    </row>
    <row r="10" spans="1:7" ht="11.25" customHeight="1">
      <c r="A10" s="1729"/>
      <c r="B10" s="294" t="s">
        <v>99</v>
      </c>
      <c r="C10" s="294" t="s">
        <v>99</v>
      </c>
      <c r="D10" s="294" t="s">
        <v>99</v>
      </c>
      <c r="E10" s="294" t="s">
        <v>99</v>
      </c>
      <c r="F10" s="294" t="s">
        <v>99</v>
      </c>
      <c r="G10" s="295" t="s">
        <v>99</v>
      </c>
    </row>
    <row r="11" spans="1:7" ht="12.75" customHeight="1">
      <c r="A11" s="296"/>
      <c r="B11" s="297"/>
      <c r="C11" s="297"/>
      <c r="D11" s="297"/>
      <c r="E11" s="297"/>
      <c r="F11" s="297"/>
      <c r="G11" s="298"/>
    </row>
    <row r="12" spans="1:7" ht="12.75" customHeight="1">
      <c r="A12" s="296"/>
      <c r="B12" s="297"/>
      <c r="C12" s="297"/>
      <c r="D12" s="297"/>
      <c r="E12" s="297"/>
      <c r="F12" s="297"/>
      <c r="G12" s="298"/>
    </row>
    <row r="13" spans="1:7" ht="12.75" customHeight="1">
      <c r="A13" s="296"/>
      <c r="B13" s="297"/>
      <c r="C13" s="297"/>
      <c r="D13" s="297"/>
      <c r="E13" s="297"/>
      <c r="F13" s="297"/>
      <c r="G13" s="298"/>
    </row>
    <row r="14" spans="1:7" ht="12.75" customHeight="1">
      <c r="A14" s="296"/>
      <c r="B14" s="297"/>
      <c r="C14" s="297"/>
      <c r="D14" s="297"/>
      <c r="E14" s="297"/>
      <c r="F14" s="297"/>
      <c r="G14" s="298"/>
    </row>
    <row r="15" spans="1:7" ht="12.75" customHeight="1">
      <c r="A15" s="296"/>
      <c r="B15" s="297"/>
      <c r="C15" s="297"/>
      <c r="D15" s="297"/>
      <c r="E15" s="297"/>
      <c r="F15" s="297"/>
      <c r="G15" s="298"/>
    </row>
    <row r="16" spans="1:7" ht="12.75" customHeight="1">
      <c r="A16" s="296"/>
      <c r="B16" s="297"/>
      <c r="C16" s="297"/>
      <c r="D16" s="297"/>
      <c r="E16" s="297"/>
      <c r="F16" s="297"/>
      <c r="G16" s="298"/>
    </row>
    <row r="17" spans="1:7" ht="12.75" customHeight="1">
      <c r="A17" s="296"/>
      <c r="B17" s="297"/>
      <c r="C17" s="297"/>
      <c r="D17" s="297"/>
      <c r="E17" s="297"/>
      <c r="F17" s="297"/>
      <c r="G17" s="298"/>
    </row>
    <row r="18" spans="1:7" ht="12.75" customHeight="1">
      <c r="A18" s="296"/>
      <c r="B18" s="297"/>
      <c r="C18" s="297"/>
      <c r="D18" s="297"/>
      <c r="E18" s="297"/>
      <c r="F18" s="297"/>
      <c r="G18" s="298"/>
    </row>
    <row r="19" spans="1:7" ht="12.75" customHeight="1">
      <c r="A19" s="296"/>
      <c r="B19" s="297"/>
      <c r="C19" s="297"/>
      <c r="D19" s="297"/>
      <c r="E19" s="297"/>
      <c r="F19" s="297"/>
      <c r="G19" s="298"/>
    </row>
    <row r="20" spans="1:7" ht="12.75" customHeight="1">
      <c r="A20" s="296"/>
      <c r="B20" s="297"/>
      <c r="C20" s="297"/>
      <c r="D20" s="297"/>
      <c r="E20" s="297"/>
      <c r="F20" s="297"/>
      <c r="G20" s="298"/>
    </row>
    <row r="21" spans="1:7" ht="12.75" customHeight="1">
      <c r="A21" s="296"/>
      <c r="B21" s="297"/>
      <c r="C21" s="297"/>
      <c r="D21" s="297"/>
      <c r="E21" s="297"/>
      <c r="F21" s="297"/>
      <c r="G21" s="298"/>
    </row>
    <row r="22" spans="1:7" ht="12.75" customHeight="1">
      <c r="A22" s="296"/>
      <c r="B22" s="297"/>
      <c r="C22" s="297"/>
      <c r="D22" s="297"/>
      <c r="E22" s="297"/>
      <c r="F22" s="297"/>
      <c r="G22" s="298"/>
    </row>
    <row r="23" spans="1:7" ht="12.75" customHeight="1">
      <c r="A23" s="296"/>
      <c r="B23" s="297"/>
      <c r="C23" s="297"/>
      <c r="D23" s="297"/>
      <c r="E23" s="297"/>
      <c r="F23" s="297"/>
      <c r="G23" s="298"/>
    </row>
    <row r="24" spans="1:7" ht="12.75" customHeight="1">
      <c r="A24" s="296"/>
      <c r="B24" s="297"/>
      <c r="C24" s="297"/>
      <c r="D24" s="297"/>
      <c r="E24" s="297"/>
      <c r="F24" s="297"/>
      <c r="G24" s="298"/>
    </row>
    <row r="25" spans="1:7" ht="12.75" customHeight="1">
      <c r="A25" s="296"/>
      <c r="B25" s="297"/>
      <c r="C25" s="297"/>
      <c r="D25" s="297"/>
      <c r="E25" s="297"/>
      <c r="F25" s="297"/>
      <c r="G25" s="298"/>
    </row>
    <row r="26" spans="1:7" ht="12.75" customHeight="1">
      <c r="A26" s="296"/>
      <c r="B26" s="297"/>
      <c r="C26" s="297"/>
      <c r="D26" s="297"/>
      <c r="E26" s="297"/>
      <c r="F26" s="297"/>
      <c r="G26" s="298"/>
    </row>
    <row r="27" spans="1:7" ht="12.75" customHeight="1">
      <c r="A27" s="296"/>
      <c r="B27" s="297"/>
      <c r="C27" s="297"/>
      <c r="D27" s="297"/>
      <c r="E27" s="297"/>
      <c r="F27" s="297"/>
      <c r="G27" s="298"/>
    </row>
    <row r="28" spans="1:7" ht="12.75" customHeight="1">
      <c r="A28" s="296"/>
      <c r="B28" s="297"/>
      <c r="C28" s="297"/>
      <c r="D28" s="297"/>
      <c r="E28" s="297"/>
      <c r="F28" s="297"/>
      <c r="G28" s="298"/>
    </row>
    <row r="29" spans="1:7" ht="12.75" customHeight="1">
      <c r="A29" s="296"/>
      <c r="B29" s="297"/>
      <c r="C29" s="297"/>
      <c r="D29" s="297"/>
      <c r="E29" s="297"/>
      <c r="F29" s="297"/>
      <c r="G29" s="298"/>
    </row>
    <row r="30" spans="1:7" ht="12.75" customHeight="1">
      <c r="A30" s="296"/>
      <c r="B30" s="297"/>
      <c r="C30" s="297"/>
      <c r="D30" s="297"/>
      <c r="E30" s="297"/>
      <c r="F30" s="297"/>
      <c r="G30" s="298"/>
    </row>
    <row r="31" spans="1:7" ht="12.75" customHeight="1">
      <c r="A31" s="296"/>
      <c r="B31" s="297"/>
      <c r="C31" s="297"/>
      <c r="D31" s="297"/>
      <c r="E31" s="297"/>
      <c r="F31" s="297"/>
      <c r="G31" s="298"/>
    </row>
    <row r="32" spans="1:7" ht="12.75" customHeight="1">
      <c r="A32" s="296"/>
      <c r="B32" s="297"/>
      <c r="C32" s="297"/>
      <c r="D32" s="297"/>
      <c r="E32" s="297"/>
      <c r="F32" s="297"/>
      <c r="G32" s="298"/>
    </row>
    <row r="33" spans="1:7" ht="12.75" customHeight="1">
      <c r="A33" s="296"/>
      <c r="B33" s="297"/>
      <c r="C33" s="297"/>
      <c r="D33" s="297"/>
      <c r="E33" s="297"/>
      <c r="F33" s="297"/>
      <c r="G33" s="298"/>
    </row>
    <row r="34" spans="1:7" ht="12.75" customHeight="1">
      <c r="A34" s="299"/>
      <c r="B34" s="300"/>
      <c r="C34" s="300"/>
      <c r="D34" s="300"/>
      <c r="E34" s="300"/>
      <c r="F34" s="300"/>
      <c r="G34" s="301"/>
    </row>
    <row r="35" spans="1:7" ht="11.25">
      <c r="A35" s="289" t="s">
        <v>375</v>
      </c>
      <c r="G35" s="178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80"/>
  <sheetViews>
    <sheetView showGridLines="0" zoomScalePageLayoutView="0" workbookViewId="0" topLeftCell="C49">
      <selection activeCell="F60" sqref="F60"/>
    </sheetView>
  </sheetViews>
  <sheetFormatPr defaultColWidth="9.140625" defaultRowHeight="12.75"/>
  <cols>
    <col min="1" max="1" width="48.8515625" style="0" customWidth="1"/>
    <col min="2" max="2" width="13.00390625" style="0" customWidth="1"/>
    <col min="3" max="3" width="12.8515625" style="0" bestFit="1" customWidth="1"/>
    <col min="4" max="4" width="11.8515625" style="0" customWidth="1"/>
    <col min="5" max="5" width="9.8515625" style="0" bestFit="1" customWidth="1"/>
    <col min="6" max="6" width="13.00390625" style="0" customWidth="1"/>
    <col min="7" max="7" width="11.7109375" style="0" customWidth="1"/>
    <col min="8" max="8" width="12.8515625" style="0" bestFit="1" customWidth="1"/>
    <col min="9" max="9" width="12.28125" style="0" customWidth="1"/>
    <col min="10" max="10" width="11.7109375" style="0" bestFit="1" customWidth="1"/>
    <col min="11" max="11" width="10.8515625" style="0" bestFit="1" customWidth="1"/>
    <col min="12" max="12" width="12.57421875" style="0" bestFit="1" customWidth="1"/>
    <col min="13" max="13" width="13.421875" style="0" customWidth="1"/>
    <col min="14" max="14" width="14.7109375" style="0" customWidth="1"/>
    <col min="15" max="15" width="20.57421875" style="0" customWidth="1"/>
  </cols>
  <sheetData>
    <row r="1" spans="1:12" ht="18.75" customHeight="1">
      <c r="A1" s="1749" t="s">
        <v>313</v>
      </c>
      <c r="B1" s="1749"/>
      <c r="C1" s="1749"/>
      <c r="D1" s="1749"/>
      <c r="E1" s="1749"/>
      <c r="F1" s="1750"/>
      <c r="G1" s="1750"/>
      <c r="H1" s="1750"/>
      <c r="I1" s="1750"/>
      <c r="J1" s="1750"/>
      <c r="K1" s="1750"/>
      <c r="L1" s="634"/>
    </row>
    <row r="2" spans="1:12" ht="18.75" customHeight="1">
      <c r="A2" s="1749" t="s">
        <v>0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634"/>
    </row>
    <row r="3" spans="1:12" ht="18.75" customHeight="1">
      <c r="A3" s="635" t="s">
        <v>376</v>
      </c>
      <c r="B3" s="636"/>
      <c r="C3" s="636"/>
      <c r="D3" s="636"/>
      <c r="E3" s="636"/>
      <c r="F3" s="636"/>
      <c r="G3" s="636"/>
      <c r="H3" s="636"/>
      <c r="I3" s="636"/>
      <c r="J3" s="637"/>
      <c r="K3" s="638"/>
      <c r="L3" s="634"/>
    </row>
    <row r="4" spans="1:12" ht="18.75" customHeight="1">
      <c r="A4" s="633" t="s">
        <v>2</v>
      </c>
      <c r="B4" s="639"/>
      <c r="C4" s="639"/>
      <c r="D4" s="639"/>
      <c r="E4" s="639"/>
      <c r="F4" s="639"/>
      <c r="G4" s="639"/>
      <c r="H4" s="639"/>
      <c r="I4" s="953"/>
      <c r="J4" s="634"/>
      <c r="K4" s="634"/>
      <c r="L4" s="634"/>
    </row>
    <row r="5" spans="1:12" ht="18.75" customHeight="1">
      <c r="A5" s="1751" t="str">
        <f>'Anexo 6 _ RES PRIM'!A5</f>
        <v>Referência: JANEIRO-ABRIL/2015; BIMESTRE: MARÇO-ABRIL/2015</v>
      </c>
      <c r="B5" s="1751"/>
      <c r="C5" s="1751"/>
      <c r="D5" s="1751"/>
      <c r="E5" s="1751"/>
      <c r="F5" s="1751"/>
      <c r="G5" s="719"/>
      <c r="H5" s="640"/>
      <c r="I5" s="970"/>
      <c r="J5" s="970"/>
      <c r="K5" s="641"/>
      <c r="L5" s="641"/>
    </row>
    <row r="6" spans="1:12" ht="17.25" customHeight="1">
      <c r="A6" s="642"/>
      <c r="B6" s="643"/>
      <c r="C6" s="644"/>
      <c r="D6" s="645"/>
      <c r="E6" s="646"/>
      <c r="F6" s="647"/>
      <c r="G6" s="647"/>
      <c r="H6" s="667"/>
      <c r="I6" s="1062" t="str">
        <f>'Anexo 5 _ RES NOM'!E3</f>
        <v>Publicação: Diário Oficial do Município nº 96</v>
      </c>
      <c r="J6" s="667"/>
      <c r="K6" s="645"/>
      <c r="L6" s="658"/>
    </row>
    <row r="7" spans="1:12" ht="13.5" customHeight="1">
      <c r="A7" s="648" t="s">
        <v>655</v>
      </c>
      <c r="B7" s="1096"/>
      <c r="C7" s="644"/>
      <c r="D7" s="645"/>
      <c r="E7" s="646"/>
      <c r="F7" s="647"/>
      <c r="G7" s="647"/>
      <c r="H7" s="645"/>
      <c r="I7" s="1062" t="str">
        <f>'Anexo 5 _ RES NOM'!E4</f>
        <v>Data: 22/05/2015</v>
      </c>
      <c r="J7" s="1062"/>
      <c r="K7" s="645"/>
      <c r="L7" s="658"/>
    </row>
    <row r="8" spans="1:13" ht="19.5" customHeight="1">
      <c r="A8" s="1752" t="s">
        <v>377</v>
      </c>
      <c r="B8" s="1742" t="s">
        <v>482</v>
      </c>
      <c r="C8" s="1742"/>
      <c r="D8" s="1742"/>
      <c r="E8" s="1742"/>
      <c r="F8" s="1742"/>
      <c r="G8" s="1753" t="s">
        <v>564</v>
      </c>
      <c r="H8" s="1754"/>
      <c r="I8" s="1754"/>
      <c r="J8" s="1754"/>
      <c r="K8" s="1754"/>
      <c r="L8" s="1755"/>
      <c r="M8" s="1743" t="s">
        <v>861</v>
      </c>
    </row>
    <row r="9" spans="1:13" ht="19.5" customHeight="1" thickBot="1">
      <c r="A9" s="1752"/>
      <c r="B9" s="1741" t="s">
        <v>378</v>
      </c>
      <c r="C9" s="1741"/>
      <c r="D9" s="1742" t="s">
        <v>380</v>
      </c>
      <c r="E9" s="1742" t="s">
        <v>379</v>
      </c>
      <c r="F9" s="1737" t="s">
        <v>860</v>
      </c>
      <c r="G9" s="1739" t="s">
        <v>378</v>
      </c>
      <c r="H9" s="1740"/>
      <c r="I9" s="1747" t="s">
        <v>565</v>
      </c>
      <c r="J9" s="1742" t="s">
        <v>380</v>
      </c>
      <c r="K9" s="1742" t="s">
        <v>379</v>
      </c>
      <c r="L9" s="1735" t="s">
        <v>859</v>
      </c>
      <c r="M9" s="1744"/>
    </row>
    <row r="10" spans="1:13" ht="27" customHeight="1">
      <c r="A10" s="1752"/>
      <c r="B10" s="649" t="s">
        <v>381</v>
      </c>
      <c r="C10" s="650" t="s">
        <v>841</v>
      </c>
      <c r="D10" s="1742"/>
      <c r="E10" s="1742"/>
      <c r="F10" s="1738"/>
      <c r="G10" s="649" t="s">
        <v>381</v>
      </c>
      <c r="H10" s="650" t="s">
        <v>840</v>
      </c>
      <c r="I10" s="1748"/>
      <c r="J10" s="1742"/>
      <c r="K10" s="1742"/>
      <c r="L10" s="1736"/>
      <c r="M10" s="1745"/>
    </row>
    <row r="11" spans="1:13" ht="19.5" customHeight="1">
      <c r="A11" s="765" t="s">
        <v>382</v>
      </c>
      <c r="B11" s="651">
        <f aca="true" t="shared" si="0" ref="B11:M11">B12+B14</f>
        <v>363002240.64</v>
      </c>
      <c r="C11" s="651">
        <f t="shared" si="0"/>
        <v>166027180.26</v>
      </c>
      <c r="D11" s="651">
        <f t="shared" si="0"/>
        <v>89726308.35999998</v>
      </c>
      <c r="E11" s="651">
        <f t="shared" si="0"/>
        <v>283565.37</v>
      </c>
      <c r="F11" s="651">
        <f>B11+C11-D11-E11</f>
        <v>439019547.16999996</v>
      </c>
      <c r="G11" s="651">
        <f t="shared" si="0"/>
        <v>91982761.89</v>
      </c>
      <c r="H11" s="651">
        <f t="shared" si="0"/>
        <v>145783179.92000002</v>
      </c>
      <c r="I11" s="651">
        <f t="shared" si="0"/>
        <v>46803006.050000004</v>
      </c>
      <c r="J11" s="651">
        <f t="shared" si="0"/>
        <v>35595030.519999996</v>
      </c>
      <c r="K11" s="651">
        <f t="shared" si="0"/>
        <v>7984481.78</v>
      </c>
      <c r="L11" s="1167">
        <f>G11+H11-J11-K11</f>
        <v>194186429.51000002</v>
      </c>
      <c r="M11" s="651">
        <f t="shared" si="0"/>
        <v>633205976.6800001</v>
      </c>
    </row>
    <row r="12" spans="1:13" ht="19.5" customHeight="1">
      <c r="A12" s="766" t="s">
        <v>566</v>
      </c>
      <c r="B12" s="652">
        <f>B13</f>
        <v>0</v>
      </c>
      <c r="C12" s="653">
        <f>C13</f>
        <v>0</v>
      </c>
      <c r="D12" s="654">
        <f>D13</f>
        <v>0</v>
      </c>
      <c r="E12" s="654">
        <f>E13</f>
        <v>0</v>
      </c>
      <c r="F12" s="652">
        <f aca="true" t="shared" si="1" ref="F12:M12">F13</f>
        <v>0</v>
      </c>
      <c r="G12" s="954">
        <f t="shared" si="1"/>
        <v>0</v>
      </c>
      <c r="H12" s="954">
        <f t="shared" si="1"/>
        <v>0</v>
      </c>
      <c r="I12" s="651">
        <f t="shared" si="1"/>
        <v>0</v>
      </c>
      <c r="J12" s="651">
        <f t="shared" si="1"/>
        <v>0</v>
      </c>
      <c r="K12" s="651">
        <f t="shared" si="1"/>
        <v>0</v>
      </c>
      <c r="L12" s="1168">
        <f>L13</f>
        <v>0</v>
      </c>
      <c r="M12" s="954">
        <f t="shared" si="1"/>
        <v>0</v>
      </c>
    </row>
    <row r="13" spans="1:14" ht="19.5" customHeight="1">
      <c r="A13" s="767" t="s">
        <v>383</v>
      </c>
      <c r="B13" s="652">
        <v>0</v>
      </c>
      <c r="C13" s="656">
        <v>0</v>
      </c>
      <c r="D13" s="652">
        <v>0</v>
      </c>
      <c r="E13" s="652">
        <v>0</v>
      </c>
      <c r="F13" s="652">
        <f>B13+C13-D13-E13</f>
        <v>0</v>
      </c>
      <c r="G13" s="652">
        <v>0</v>
      </c>
      <c r="H13" s="652">
        <v>0</v>
      </c>
      <c r="I13" s="1060">
        <v>0</v>
      </c>
      <c r="J13" s="652">
        <v>0</v>
      </c>
      <c r="K13" s="652">
        <v>0</v>
      </c>
      <c r="L13" s="1169">
        <f>G13+H13-J13-K13</f>
        <v>0</v>
      </c>
      <c r="M13" s="1173">
        <f aca="true" t="shared" si="2" ref="M13:M59">F13+L13</f>
        <v>0</v>
      </c>
      <c r="N13" s="1063"/>
    </row>
    <row r="14" spans="1:14" ht="19.5" customHeight="1">
      <c r="A14" s="768" t="s">
        <v>384</v>
      </c>
      <c r="B14" s="659">
        <f aca="true" t="shared" si="3" ref="B14:M14">B15+B44</f>
        <v>363002240.64</v>
      </c>
      <c r="C14" s="738">
        <f t="shared" si="3"/>
        <v>166027180.26</v>
      </c>
      <c r="D14" s="955">
        <f t="shared" si="3"/>
        <v>89726308.35999998</v>
      </c>
      <c r="E14" s="955">
        <f t="shared" si="3"/>
        <v>283565.37</v>
      </c>
      <c r="F14" s="665">
        <f t="shared" si="3"/>
        <v>439019547.16999996</v>
      </c>
      <c r="G14" s="659">
        <f t="shared" si="3"/>
        <v>91982761.89</v>
      </c>
      <c r="H14" s="659">
        <f t="shared" si="3"/>
        <v>145783179.92000002</v>
      </c>
      <c r="I14" s="651">
        <f t="shared" si="3"/>
        <v>46803006.050000004</v>
      </c>
      <c r="J14" s="651">
        <f t="shared" si="3"/>
        <v>35595030.519999996</v>
      </c>
      <c r="K14" s="651">
        <f t="shared" si="3"/>
        <v>7984481.78</v>
      </c>
      <c r="L14" s="738">
        <f t="shared" si="3"/>
        <v>194186429.51</v>
      </c>
      <c r="M14" s="1174">
        <f t="shared" si="3"/>
        <v>633205976.6800001</v>
      </c>
      <c r="N14" s="1064"/>
    </row>
    <row r="15" spans="1:15" ht="19.5" customHeight="1">
      <c r="A15" s="769" t="s">
        <v>567</v>
      </c>
      <c r="B15" s="660">
        <f aca="true" t="shared" si="4" ref="B15:M15">SUM(B16:B42)</f>
        <v>255247202.44000003</v>
      </c>
      <c r="C15" s="655">
        <f t="shared" si="4"/>
        <v>125247367.24999997</v>
      </c>
      <c r="D15" s="659">
        <f t="shared" si="4"/>
        <v>65478573.28999999</v>
      </c>
      <c r="E15" s="659">
        <f t="shared" si="4"/>
        <v>101710.7</v>
      </c>
      <c r="F15" s="655">
        <f t="shared" si="4"/>
        <v>314914285.7</v>
      </c>
      <c r="G15" s="655">
        <f t="shared" si="4"/>
        <v>50216330.43000001</v>
      </c>
      <c r="H15" s="655">
        <f t="shared" si="4"/>
        <v>99269274.10000002</v>
      </c>
      <c r="I15" s="651">
        <f t="shared" si="4"/>
        <v>28182859.750000004</v>
      </c>
      <c r="J15" s="651">
        <f t="shared" si="4"/>
        <v>19059171.439999998</v>
      </c>
      <c r="K15" s="651">
        <f t="shared" si="4"/>
        <v>5407289.5200000005</v>
      </c>
      <c r="L15" s="1170">
        <f t="shared" si="4"/>
        <v>125019143.57000001</v>
      </c>
      <c r="M15" s="1175">
        <f t="shared" si="4"/>
        <v>439933429.27000004</v>
      </c>
      <c r="N15" s="815"/>
      <c r="O15" s="1063"/>
    </row>
    <row r="16" spans="1:14" ht="19.5" customHeight="1">
      <c r="A16" s="770" t="s">
        <v>385</v>
      </c>
      <c r="B16" s="652">
        <f>609658.35-609333.35+611927.64-0+19.85+179.35</f>
        <v>612451.84</v>
      </c>
      <c r="C16" s="661">
        <v>382495.93</v>
      </c>
      <c r="D16" s="661">
        <f>362697.44</f>
        <v>362697.44</v>
      </c>
      <c r="E16" s="661"/>
      <c r="F16" s="657">
        <f>B16+C16-D16-E16</f>
        <v>632250.3300000001</v>
      </c>
      <c r="G16" s="657">
        <v>0</v>
      </c>
      <c r="H16" s="661">
        <v>272351.35</v>
      </c>
      <c r="I16" s="650">
        <f>216722.11</f>
        <v>216722.11</v>
      </c>
      <c r="J16" s="650">
        <f>199972.1</f>
        <v>199972.1</v>
      </c>
      <c r="K16" s="650"/>
      <c r="L16" s="1171">
        <f>G16+H16-J16-K16</f>
        <v>72379.24999999997</v>
      </c>
      <c r="M16" s="1176">
        <f t="shared" si="2"/>
        <v>704629.5800000001</v>
      </c>
      <c r="N16" s="815"/>
    </row>
    <row r="17" spans="1:13" ht="19.5" customHeight="1">
      <c r="A17" s="770" t="s">
        <v>386</v>
      </c>
      <c r="B17" s="652">
        <f>44506.48-42248.5+9998.68+11907+6618.98+6009.45</f>
        <v>36792.090000000004</v>
      </c>
      <c r="C17" s="661">
        <v>184988.22</v>
      </c>
      <c r="D17" s="661">
        <v>22518.27</v>
      </c>
      <c r="E17" s="661">
        <v>25813.09</v>
      </c>
      <c r="F17" s="657">
        <f aca="true" t="shared" si="5" ref="F17:F42">B17+C17-D17-E17</f>
        <v>173448.95</v>
      </c>
      <c r="G17" s="657">
        <v>0</v>
      </c>
      <c r="H17" s="657">
        <v>93094.86</v>
      </c>
      <c r="I17" s="650"/>
      <c r="J17" s="650">
        <v>2257.98</v>
      </c>
      <c r="K17" s="650">
        <f>73075.12</f>
        <v>73075.12</v>
      </c>
      <c r="L17" s="1171">
        <f aca="true" t="shared" si="6" ref="L17:L42">G17+H17-J17-K17</f>
        <v>17761.76000000001</v>
      </c>
      <c r="M17" s="1176">
        <f t="shared" si="2"/>
        <v>191210.71000000002</v>
      </c>
    </row>
    <row r="18" spans="1:13" ht="19.5" customHeight="1">
      <c r="A18" s="770" t="s">
        <v>387</v>
      </c>
      <c r="B18" s="652">
        <f>207866.11-198470.11+444285.03+4808.1+7300.81+35416.96</f>
        <v>501206.9</v>
      </c>
      <c r="C18" s="661">
        <v>21891.45</v>
      </c>
      <c r="D18" s="661">
        <v>75.95</v>
      </c>
      <c r="E18" s="661"/>
      <c r="F18" s="657">
        <f t="shared" si="5"/>
        <v>523022.4</v>
      </c>
      <c r="G18" s="657">
        <v>0</v>
      </c>
      <c r="H18" s="657">
        <v>837432.21</v>
      </c>
      <c r="I18" s="650">
        <v>21066.44</v>
      </c>
      <c r="J18" s="650">
        <v>4804.79</v>
      </c>
      <c r="K18" s="650"/>
      <c r="L18" s="1171">
        <f t="shared" si="6"/>
        <v>832627.4199999999</v>
      </c>
      <c r="M18" s="1176">
        <f t="shared" si="2"/>
        <v>1355649.8199999998</v>
      </c>
    </row>
    <row r="19" spans="1:13" ht="19.5" customHeight="1">
      <c r="A19" s="770" t="s">
        <v>388</v>
      </c>
      <c r="B19" s="652">
        <f>31538.31-18000+439.75+169680.98+0.9+0.01</f>
        <v>183659.95</v>
      </c>
      <c r="C19" s="661">
        <v>34417.42</v>
      </c>
      <c r="D19" s="661"/>
      <c r="E19" s="661"/>
      <c r="F19" s="657">
        <f t="shared" si="5"/>
        <v>218077.37</v>
      </c>
      <c r="G19" s="657">
        <v>0</v>
      </c>
      <c r="H19" s="657">
        <v>0</v>
      </c>
      <c r="I19" s="650"/>
      <c r="J19" s="650"/>
      <c r="K19" s="650"/>
      <c r="L19" s="1171">
        <f t="shared" si="6"/>
        <v>0</v>
      </c>
      <c r="M19" s="1176">
        <f t="shared" si="2"/>
        <v>218077.37</v>
      </c>
    </row>
    <row r="20" spans="1:13" ht="19.5" customHeight="1">
      <c r="A20" s="770" t="s">
        <v>568</v>
      </c>
      <c r="B20" s="652">
        <f>11975+15455.74+865.44</f>
        <v>28296.179999999997</v>
      </c>
      <c r="C20" s="661">
        <v>0</v>
      </c>
      <c r="D20" s="661"/>
      <c r="E20" s="661"/>
      <c r="F20" s="657">
        <f t="shared" si="5"/>
        <v>28296.179999999997</v>
      </c>
      <c r="G20" s="657">
        <v>0</v>
      </c>
      <c r="H20" s="657">
        <v>38045.38</v>
      </c>
      <c r="I20" s="650"/>
      <c r="J20" s="650"/>
      <c r="K20" s="650"/>
      <c r="L20" s="1171">
        <f t="shared" si="6"/>
        <v>38045.38</v>
      </c>
      <c r="M20" s="1176">
        <f t="shared" si="2"/>
        <v>66341.56</v>
      </c>
    </row>
    <row r="21" spans="1:13" ht="19.5" customHeight="1">
      <c r="A21" s="770" t="s">
        <v>569</v>
      </c>
      <c r="B21" s="652">
        <v>0.01</v>
      </c>
      <c r="C21" s="661">
        <v>0</v>
      </c>
      <c r="D21" s="661"/>
      <c r="E21" s="661"/>
      <c r="F21" s="657">
        <f t="shared" si="5"/>
        <v>0.01</v>
      </c>
      <c r="G21" s="657">
        <v>0</v>
      </c>
      <c r="H21" s="657">
        <v>0</v>
      </c>
      <c r="I21" s="650"/>
      <c r="J21" s="650"/>
      <c r="K21" s="650"/>
      <c r="L21" s="1171">
        <f t="shared" si="6"/>
        <v>0</v>
      </c>
      <c r="M21" s="1176">
        <f t="shared" si="2"/>
        <v>0.01</v>
      </c>
    </row>
    <row r="22" spans="1:13" ht="19.5" customHeight="1">
      <c r="A22" s="770" t="s">
        <v>570</v>
      </c>
      <c r="B22" s="652">
        <f>1817345.65-1812954.42+125187.15+5435.7+7164.9</f>
        <v>142178.97999999998</v>
      </c>
      <c r="C22" s="661">
        <v>7538481.85</v>
      </c>
      <c r="D22" s="661">
        <v>6289239.68</v>
      </c>
      <c r="E22" s="661"/>
      <c r="F22" s="657">
        <f t="shared" si="5"/>
        <v>1391421.1500000004</v>
      </c>
      <c r="G22" s="657">
        <v>0</v>
      </c>
      <c r="H22" s="657">
        <v>1273844.54</v>
      </c>
      <c r="I22" s="1061">
        <v>1189234.56</v>
      </c>
      <c r="J22" s="650">
        <v>543329.45</v>
      </c>
      <c r="K22" s="650"/>
      <c r="L22" s="1171">
        <f t="shared" si="6"/>
        <v>730515.0900000001</v>
      </c>
      <c r="M22" s="1176">
        <f t="shared" si="2"/>
        <v>2121936.24</v>
      </c>
    </row>
    <row r="23" spans="1:13" ht="19.5" customHeight="1">
      <c r="A23" s="770" t="s">
        <v>389</v>
      </c>
      <c r="B23" s="652">
        <f>318812.4-297435.18+288534.95+51323.6+1481.23+1850.73</f>
        <v>364567.73</v>
      </c>
      <c r="C23" s="661">
        <v>166631.32</v>
      </c>
      <c r="D23" s="661">
        <v>182408.54</v>
      </c>
      <c r="E23" s="661"/>
      <c r="F23" s="657">
        <f t="shared" si="5"/>
        <v>348790.51</v>
      </c>
      <c r="G23" s="657">
        <v>0</v>
      </c>
      <c r="H23" s="657">
        <v>129993.49</v>
      </c>
      <c r="I23" s="650">
        <v>32538.05</v>
      </c>
      <c r="J23" s="650">
        <v>19190</v>
      </c>
      <c r="K23" s="650"/>
      <c r="L23" s="1171">
        <f t="shared" si="6"/>
        <v>110803.49</v>
      </c>
      <c r="M23" s="1176">
        <f t="shared" si="2"/>
        <v>459594</v>
      </c>
    </row>
    <row r="24" spans="1:13" ht="19.5" customHeight="1">
      <c r="A24" s="770" t="s">
        <v>390</v>
      </c>
      <c r="B24" s="652">
        <f>357041.12-135210.46+858760.13-273182+46000+24059.08</f>
        <v>877467.87</v>
      </c>
      <c r="C24" s="661">
        <v>315349.2</v>
      </c>
      <c r="D24" s="661">
        <v>288881.2</v>
      </c>
      <c r="E24" s="661"/>
      <c r="F24" s="657">
        <f t="shared" si="5"/>
        <v>903935.8700000001</v>
      </c>
      <c r="G24" s="657">
        <v>0</v>
      </c>
      <c r="H24" s="657">
        <v>834207.93</v>
      </c>
      <c r="I24" s="650"/>
      <c r="J24" s="650"/>
      <c r="K24" s="657"/>
      <c r="L24" s="1171">
        <f t="shared" si="6"/>
        <v>834207.93</v>
      </c>
      <c r="M24" s="1176">
        <f t="shared" si="2"/>
        <v>1738143.8000000003</v>
      </c>
    </row>
    <row r="25" spans="1:13" ht="19.5" customHeight="1">
      <c r="A25" s="770" t="s">
        <v>571</v>
      </c>
      <c r="B25" s="652">
        <f>33008386.98-28820028.25+103471076.33-878100.69+1138081.79-136942.54+1021541.06+2588266.91+900970.95</f>
        <v>112293252.54</v>
      </c>
      <c r="C25" s="661">
        <v>18372608.21</v>
      </c>
      <c r="D25" s="661">
        <v>13927825.36</v>
      </c>
      <c r="E25" s="661"/>
      <c r="F25" s="657">
        <f t="shared" si="5"/>
        <v>116738035.39</v>
      </c>
      <c r="G25" s="657">
        <f>42238514.49-33008386.98+104418479.58-103471076.33</f>
        <v>10177530.760000005</v>
      </c>
      <c r="H25" s="657">
        <v>45666189.45</v>
      </c>
      <c r="I25" s="650">
        <f>13301342.96+127447.87</f>
        <v>13428790.83</v>
      </c>
      <c r="J25" s="650">
        <v>9579490.09</v>
      </c>
      <c r="K25" s="650"/>
      <c r="L25" s="1171">
        <f t="shared" si="6"/>
        <v>46264230.120000005</v>
      </c>
      <c r="M25" s="1176">
        <f t="shared" si="2"/>
        <v>163002265.51</v>
      </c>
    </row>
    <row r="26" spans="1:13" ht="19.5" customHeight="1">
      <c r="A26" s="770" t="s">
        <v>572</v>
      </c>
      <c r="B26" s="652">
        <f>60966926.34-50693931.23+27423917.77-569040.38+33199790.94-111533.75+6353377.96+986129.08+92921.95</f>
        <v>77648558.68</v>
      </c>
      <c r="C26" s="661">
        <v>57169079.06</v>
      </c>
      <c r="D26" s="661">
        <v>25371984</v>
      </c>
      <c r="E26" s="661">
        <v>74211</v>
      </c>
      <c r="F26" s="657">
        <f t="shared" si="5"/>
        <v>109371442.74000001</v>
      </c>
      <c r="G26" s="657">
        <f>75166958.5-60966926.34+33685872.34-27423917.77+47026023.21-33199790.94+8186133.73-6353377.96</f>
        <v>36120974.77</v>
      </c>
      <c r="H26" s="657">
        <v>15876257.42</v>
      </c>
      <c r="I26" s="650">
        <f>4542870.29+262898.63</f>
        <v>4805768.92</v>
      </c>
      <c r="J26" s="650">
        <v>1206165.22</v>
      </c>
      <c r="K26" s="661">
        <v>135854.39</v>
      </c>
      <c r="L26" s="1171">
        <f t="shared" si="6"/>
        <v>50655212.580000006</v>
      </c>
      <c r="M26" s="1176">
        <f t="shared" si="2"/>
        <v>160026655.32000002</v>
      </c>
    </row>
    <row r="27" spans="1:13" ht="19.5" customHeight="1">
      <c r="A27" s="770" t="s">
        <v>573</v>
      </c>
      <c r="B27" s="652">
        <f>199446.68-184669.28+650979.28+27285.23+11063.3+7697.55</f>
        <v>711802.7600000001</v>
      </c>
      <c r="C27" s="661">
        <v>633283.39</v>
      </c>
      <c r="D27" s="661">
        <v>634655.7</v>
      </c>
      <c r="E27" s="661"/>
      <c r="F27" s="657">
        <f t="shared" si="5"/>
        <v>710430.4500000002</v>
      </c>
      <c r="G27" s="657">
        <v>0</v>
      </c>
      <c r="H27" s="657">
        <v>1666858.89</v>
      </c>
      <c r="I27" s="650">
        <v>556554.35</v>
      </c>
      <c r="J27" s="650">
        <v>550604.35</v>
      </c>
      <c r="K27" s="661"/>
      <c r="L27" s="1171">
        <f t="shared" si="6"/>
        <v>1116254.54</v>
      </c>
      <c r="M27" s="1176">
        <f t="shared" si="2"/>
        <v>1826684.9900000002</v>
      </c>
    </row>
    <row r="28" spans="1:13" ht="19.5" customHeight="1">
      <c r="A28" s="770" t="s">
        <v>574</v>
      </c>
      <c r="B28" s="652">
        <f>655624.78-531402.88+222505.67+174890.54+57832.4+26633.57+393705.75</f>
        <v>999789.8300000001</v>
      </c>
      <c r="C28" s="661">
        <v>852897.44</v>
      </c>
      <c r="D28" s="661">
        <v>427419.72</v>
      </c>
      <c r="E28" s="661"/>
      <c r="F28" s="657">
        <f t="shared" si="5"/>
        <v>1425267.55</v>
      </c>
      <c r="G28" s="657">
        <v>0</v>
      </c>
      <c r="H28" s="657">
        <v>319876.09</v>
      </c>
      <c r="I28" s="650">
        <v>138900.97</v>
      </c>
      <c r="J28" s="650">
        <v>13180</v>
      </c>
      <c r="K28" s="650"/>
      <c r="L28" s="1171">
        <f t="shared" si="6"/>
        <v>306696.09</v>
      </c>
      <c r="M28" s="1176">
        <f t="shared" si="2"/>
        <v>1731963.6400000001</v>
      </c>
    </row>
    <row r="29" spans="1:13" ht="19.5" customHeight="1">
      <c r="A29" s="770" t="s">
        <v>575</v>
      </c>
      <c r="B29" s="652">
        <f>30841.6+320+10116.97+6635.29+300</f>
        <v>48213.86</v>
      </c>
      <c r="C29" s="661">
        <v>0</v>
      </c>
      <c r="D29" s="661"/>
      <c r="E29" s="661"/>
      <c r="F29" s="657">
        <f t="shared" si="5"/>
        <v>48213.86</v>
      </c>
      <c r="G29" s="657">
        <v>0</v>
      </c>
      <c r="H29" s="657">
        <v>40868.76</v>
      </c>
      <c r="I29" s="650"/>
      <c r="J29" s="650"/>
      <c r="K29" s="650"/>
      <c r="L29" s="1171">
        <f t="shared" si="6"/>
        <v>40868.76</v>
      </c>
      <c r="M29" s="1176">
        <f t="shared" si="2"/>
        <v>89082.62</v>
      </c>
    </row>
    <row r="30" spans="1:13" ht="19.5" customHeight="1">
      <c r="A30" s="770" t="s">
        <v>576</v>
      </c>
      <c r="B30" s="652">
        <f>681926.05-600077.75+410384.34-102123.49+29111.33+133500.82+553.45</f>
        <v>553274.75</v>
      </c>
      <c r="C30" s="662">
        <v>370237.21</v>
      </c>
      <c r="D30" s="661">
        <v>102813.77</v>
      </c>
      <c r="E30" s="661"/>
      <c r="F30" s="657">
        <f t="shared" si="5"/>
        <v>820698.19</v>
      </c>
      <c r="G30" s="657">
        <v>0</v>
      </c>
      <c r="H30" s="657">
        <v>834515.49</v>
      </c>
      <c r="I30" s="650">
        <v>125832.54</v>
      </c>
      <c r="J30" s="650">
        <v>17028.31</v>
      </c>
      <c r="K30" s="650">
        <v>519419.56</v>
      </c>
      <c r="L30" s="1171">
        <f t="shared" si="6"/>
        <v>298067.61999999994</v>
      </c>
      <c r="M30" s="1176">
        <f t="shared" si="2"/>
        <v>1118765.8099999998</v>
      </c>
    </row>
    <row r="31" spans="1:13" ht="19.5" customHeight="1">
      <c r="A31" s="770" t="s">
        <v>577</v>
      </c>
      <c r="B31" s="652">
        <f>3044885.47-2649847.23+6094438.37+134778.55+1068572.04+15094.54+655203.09</f>
        <v>8363124.83</v>
      </c>
      <c r="C31" s="662">
        <v>2144816.1</v>
      </c>
      <c r="D31" s="661">
        <v>822408.48</v>
      </c>
      <c r="E31" s="661"/>
      <c r="F31" s="657">
        <f t="shared" si="5"/>
        <v>9685532.45</v>
      </c>
      <c r="G31" s="657">
        <f>3988248.4-3044885.47</f>
        <v>943362.9299999997</v>
      </c>
      <c r="H31" s="657">
        <v>1047618.17</v>
      </c>
      <c r="I31" s="650">
        <v>240615.69</v>
      </c>
      <c r="J31" s="650">
        <v>300557.75</v>
      </c>
      <c r="K31" s="650"/>
      <c r="L31" s="1171">
        <f t="shared" si="6"/>
        <v>1690423.3499999996</v>
      </c>
      <c r="M31" s="1176">
        <f t="shared" si="2"/>
        <v>11375955.799999999</v>
      </c>
    </row>
    <row r="32" spans="1:13" ht="19.5" customHeight="1">
      <c r="A32" s="770" t="s">
        <v>578</v>
      </c>
      <c r="B32" s="652">
        <f>1087458.16-684339.14+664050.46-39136+603498.26+227032.25+104866.66+1140.74</f>
        <v>1964571.39</v>
      </c>
      <c r="C32" s="661">
        <v>506480.58</v>
      </c>
      <c r="D32" s="661">
        <v>456080.58</v>
      </c>
      <c r="E32" s="661"/>
      <c r="F32" s="657">
        <f t="shared" si="5"/>
        <v>2014971.3899999997</v>
      </c>
      <c r="G32" s="657">
        <v>0</v>
      </c>
      <c r="H32" s="657">
        <v>1939466.84</v>
      </c>
      <c r="I32" s="650">
        <v>149780.9</v>
      </c>
      <c r="J32" s="650">
        <v>3000</v>
      </c>
      <c r="K32" s="650">
        <v>855966.84</v>
      </c>
      <c r="L32" s="1171">
        <f t="shared" si="6"/>
        <v>1080500</v>
      </c>
      <c r="M32" s="1176">
        <f t="shared" si="2"/>
        <v>3095471.3899999997</v>
      </c>
    </row>
    <row r="33" spans="1:13" ht="19.5" customHeight="1">
      <c r="A33" s="770" t="s">
        <v>579</v>
      </c>
      <c r="B33" s="652">
        <f>1122253.19-863541.77+901553.87-41050.87+71274.07+209305.04-0.2+138336.18-2548.03+56463.82-8974.08</f>
        <v>1583071.22</v>
      </c>
      <c r="C33" s="661">
        <v>1600561.72</v>
      </c>
      <c r="D33" s="661">
        <v>1667134.52</v>
      </c>
      <c r="E33" s="661"/>
      <c r="F33" s="657">
        <f t="shared" si="5"/>
        <v>1516498.42</v>
      </c>
      <c r="G33" s="657">
        <v>0</v>
      </c>
      <c r="H33" s="657">
        <v>2419418.64</v>
      </c>
      <c r="I33" s="650">
        <v>1694073.57</v>
      </c>
      <c r="J33" s="650">
        <v>1046310.09</v>
      </c>
      <c r="K33" s="650">
        <v>16390</v>
      </c>
      <c r="L33" s="1171">
        <f t="shared" si="6"/>
        <v>1356718.5500000003</v>
      </c>
      <c r="M33" s="1176">
        <f t="shared" si="2"/>
        <v>2873216.97</v>
      </c>
    </row>
    <row r="34" spans="1:13" ht="19.5" customHeight="1">
      <c r="A34" s="770" t="s">
        <v>391</v>
      </c>
      <c r="B34" s="652">
        <f>1374056.37-1361363.44+9857.81+4178950.11+71101.51</f>
        <v>4272602.359999999</v>
      </c>
      <c r="C34" s="661">
        <v>1216746.75</v>
      </c>
      <c r="D34" s="661">
        <v>324923.05</v>
      </c>
      <c r="E34" s="650"/>
      <c r="F34" s="657">
        <f>B34+C34-D34-E34</f>
        <v>5164426.06</v>
      </c>
      <c r="G34" s="657">
        <v>0</v>
      </c>
      <c r="H34" s="657">
        <v>1904993.56</v>
      </c>
      <c r="I34" s="650">
        <v>1262779.93</v>
      </c>
      <c r="J34" s="650">
        <v>1262779.93</v>
      </c>
      <c r="K34" s="650"/>
      <c r="L34" s="1171">
        <f t="shared" si="6"/>
        <v>642213.6300000001</v>
      </c>
      <c r="M34" s="1176">
        <f t="shared" si="2"/>
        <v>5806639.6899999995</v>
      </c>
    </row>
    <row r="35" spans="1:13" ht="19.5" customHeight="1">
      <c r="A35" s="770" t="s">
        <v>392</v>
      </c>
      <c r="B35" s="652">
        <f>9989660.52-8097589.3+23533912.75+788550.17+428958.77</f>
        <v>26643492.91</v>
      </c>
      <c r="C35" s="661">
        <v>15653188.7</v>
      </c>
      <c r="D35" s="661">
        <v>7481284.78</v>
      </c>
      <c r="E35" s="661"/>
      <c r="F35" s="657">
        <f t="shared" si="5"/>
        <v>34815396.83</v>
      </c>
      <c r="G35" s="657">
        <v>0</v>
      </c>
      <c r="H35" s="657">
        <v>7994643.83</v>
      </c>
      <c r="I35" s="650">
        <v>1679233.67</v>
      </c>
      <c r="J35" s="650">
        <v>1677987.96</v>
      </c>
      <c r="K35" s="650">
        <v>1525182.98</v>
      </c>
      <c r="L35" s="1171">
        <f t="shared" si="6"/>
        <v>4791472.890000001</v>
      </c>
      <c r="M35" s="1176">
        <f t="shared" si="2"/>
        <v>39606869.72</v>
      </c>
    </row>
    <row r="36" spans="1:13" ht="19.5" customHeight="1">
      <c r="A36" s="770" t="s">
        <v>580</v>
      </c>
      <c r="B36" s="652">
        <f>4068862.22-2533087.9+3610143.8-618452+26160.65+115000+511195.01+113333.32</f>
        <v>5293155.100000001</v>
      </c>
      <c r="C36" s="662">
        <v>6614040.03</v>
      </c>
      <c r="D36" s="661">
        <v>1762168.01</v>
      </c>
      <c r="E36" s="661"/>
      <c r="F36" s="657">
        <f t="shared" si="5"/>
        <v>10145027.120000001</v>
      </c>
      <c r="G36" s="657">
        <v>0</v>
      </c>
      <c r="H36" s="657">
        <v>536840.1</v>
      </c>
      <c r="I36" s="650"/>
      <c r="J36" s="650"/>
      <c r="K36" s="650">
        <v>330758.33</v>
      </c>
      <c r="L36" s="1171">
        <f t="shared" si="6"/>
        <v>206081.76999999996</v>
      </c>
      <c r="M36" s="1176">
        <f t="shared" si="2"/>
        <v>10351108.89</v>
      </c>
    </row>
    <row r="37" spans="1:13" ht="19.5" customHeight="1">
      <c r="A37" s="770" t="s">
        <v>581</v>
      </c>
      <c r="B37" s="652">
        <f>6679519.74+0.34+120+360</f>
        <v>6680000.08</v>
      </c>
      <c r="C37" s="662">
        <v>3458080.32</v>
      </c>
      <c r="D37" s="661">
        <v>877480.32</v>
      </c>
      <c r="E37" s="661"/>
      <c r="F37" s="657">
        <f t="shared" si="5"/>
        <v>9260600.08</v>
      </c>
      <c r="G37" s="657">
        <v>0</v>
      </c>
      <c r="H37" s="657">
        <v>427739.17</v>
      </c>
      <c r="I37" s="650">
        <v>178680.26</v>
      </c>
      <c r="J37" s="650">
        <v>169680.26</v>
      </c>
      <c r="K37" s="650"/>
      <c r="L37" s="1171">
        <f t="shared" si="6"/>
        <v>258058.90999999997</v>
      </c>
      <c r="M37" s="1176">
        <f t="shared" si="2"/>
        <v>9518658.99</v>
      </c>
    </row>
    <row r="38" spans="1:13" ht="19.5" customHeight="1">
      <c r="A38" s="770" t="s">
        <v>582</v>
      </c>
      <c r="B38" s="652">
        <f>469225.68-375030.1+841760.18-350100+111431.24+172381.65+54080.45+3698.04</f>
        <v>927447.14</v>
      </c>
      <c r="C38" s="662">
        <v>2028201.06</v>
      </c>
      <c r="D38" s="661">
        <v>1438753.3</v>
      </c>
      <c r="E38" s="661">
        <v>1686.61</v>
      </c>
      <c r="F38" s="657">
        <f t="shared" si="5"/>
        <v>1515208.29</v>
      </c>
      <c r="G38" s="657">
        <v>0</v>
      </c>
      <c r="H38" s="657">
        <v>441983.79</v>
      </c>
      <c r="I38" s="650">
        <v>169.68</v>
      </c>
      <c r="J38" s="650">
        <v>169.68</v>
      </c>
      <c r="K38" s="650"/>
      <c r="L38" s="1171">
        <f t="shared" si="6"/>
        <v>441814.11</v>
      </c>
      <c r="M38" s="1176">
        <f t="shared" si="2"/>
        <v>1957022.4</v>
      </c>
    </row>
    <row r="39" spans="1:13" ht="19.5" customHeight="1">
      <c r="A39" s="770" t="s">
        <v>807</v>
      </c>
      <c r="B39" s="652">
        <f>119114.54-117674.54+272.65+6436.7</f>
        <v>8149.35</v>
      </c>
      <c r="C39" s="661">
        <v>124912.83</v>
      </c>
      <c r="D39" s="661">
        <v>113997.05</v>
      </c>
      <c r="E39" s="661"/>
      <c r="F39" s="657">
        <f t="shared" si="5"/>
        <v>19065.12999999999</v>
      </c>
      <c r="G39" s="657">
        <v>0</v>
      </c>
      <c r="H39" s="657">
        <v>628820.14</v>
      </c>
      <c r="I39" s="650">
        <v>7714.25</v>
      </c>
      <c r="J39" s="650">
        <v>1554.95</v>
      </c>
      <c r="K39" s="650"/>
      <c r="L39" s="1171">
        <f t="shared" si="6"/>
        <v>627265.1900000001</v>
      </c>
      <c r="M39" s="1176">
        <f t="shared" si="2"/>
        <v>646330.3200000001</v>
      </c>
    </row>
    <row r="40" spans="1:13" ht="19.5" customHeight="1">
      <c r="A40" s="770" t="s">
        <v>583</v>
      </c>
      <c r="B40" s="652">
        <f>4642765.82-4020703.15+2103189.28-512861.99+423686.71+7639.81+1580.36</f>
        <v>2645296.84</v>
      </c>
      <c r="C40" s="661">
        <v>3554603.63</v>
      </c>
      <c r="D40" s="661">
        <v>1948503.6</v>
      </c>
      <c r="E40" s="661"/>
      <c r="F40" s="657">
        <f t="shared" si="5"/>
        <v>4251396.869999999</v>
      </c>
      <c r="G40" s="657">
        <v>0</v>
      </c>
      <c r="H40" s="657">
        <v>267463.89</v>
      </c>
      <c r="I40" s="650">
        <v>14800</v>
      </c>
      <c r="J40" s="650">
        <v>203892.9</v>
      </c>
      <c r="K40" s="650"/>
      <c r="L40" s="1171">
        <f t="shared" si="6"/>
        <v>63570.99000000002</v>
      </c>
      <c r="M40" s="1176">
        <f t="shared" si="2"/>
        <v>4314967.859999999</v>
      </c>
    </row>
    <row r="41" spans="1:13" ht="19.5" customHeight="1">
      <c r="A41" s="770" t="s">
        <v>584</v>
      </c>
      <c r="B41" s="652">
        <f>328436.51-324636.51+1713052.31-485400+235929.72+27502.9+10008.93</f>
        <v>1504893.8599999999</v>
      </c>
      <c r="C41" s="662">
        <v>880235.6</v>
      </c>
      <c r="D41" s="661">
        <v>133355.28</v>
      </c>
      <c r="E41" s="661"/>
      <c r="F41" s="657">
        <f t="shared" si="5"/>
        <v>2251774.18</v>
      </c>
      <c r="G41" s="657">
        <v>0</v>
      </c>
      <c r="H41" s="657">
        <v>148770.68</v>
      </c>
      <c r="I41" s="650"/>
      <c r="J41" s="650"/>
      <c r="K41" s="650"/>
      <c r="L41" s="1171">
        <f t="shared" si="6"/>
        <v>148770.68</v>
      </c>
      <c r="M41" s="1176">
        <f t="shared" si="2"/>
        <v>2400544.8600000003</v>
      </c>
    </row>
    <row r="42" spans="1:13" ht="19.5" customHeight="1">
      <c r="A42" s="1048" t="s">
        <v>585</v>
      </c>
      <c r="B42" s="652">
        <f>5607384.57-5446794.23+549710.82-350551.46+133.69</f>
        <v>359883.3899999998</v>
      </c>
      <c r="C42" s="1042">
        <v>1423139.23</v>
      </c>
      <c r="D42" s="1042">
        <v>841964.69</v>
      </c>
      <c r="E42" s="1042"/>
      <c r="F42" s="1043">
        <f t="shared" si="5"/>
        <v>941057.9299999997</v>
      </c>
      <c r="G42" s="1043">
        <f>8581846.54-5607384.57</f>
        <v>2974461.969999999</v>
      </c>
      <c r="H42" s="1043">
        <v>13627979.43</v>
      </c>
      <c r="I42" s="1044">
        <v>2439603.03</v>
      </c>
      <c r="J42" s="1044">
        <v>2257215.63</v>
      </c>
      <c r="K42" s="1044">
        <v>1950642.3</v>
      </c>
      <c r="L42" s="1171">
        <f t="shared" si="6"/>
        <v>12394583.469999999</v>
      </c>
      <c r="M42" s="1176">
        <f t="shared" si="2"/>
        <v>13335641.399999999</v>
      </c>
    </row>
    <row r="43" spans="1:13" ht="19.5" customHeight="1">
      <c r="A43" s="1051"/>
      <c r="B43" s="663"/>
      <c r="C43" s="1052"/>
      <c r="D43" s="1053"/>
      <c r="E43" s="1052"/>
      <c r="F43" s="1053"/>
      <c r="G43" s="1053"/>
      <c r="H43" s="1053"/>
      <c r="I43" s="1054"/>
      <c r="J43" s="1054"/>
      <c r="K43" s="1054"/>
      <c r="L43" s="1172"/>
      <c r="M43" s="1176">
        <f t="shared" si="2"/>
        <v>0</v>
      </c>
    </row>
    <row r="44" spans="1:13" ht="19.5" customHeight="1">
      <c r="A44" s="1046" t="s">
        <v>586</v>
      </c>
      <c r="B44" s="1049">
        <f aca="true" t="shared" si="7" ref="B44:M44">B45+B52</f>
        <v>107755038.19999997</v>
      </c>
      <c r="C44" s="1040">
        <f t="shared" si="7"/>
        <v>40779813.010000005</v>
      </c>
      <c r="D44" s="1040">
        <f t="shared" si="7"/>
        <v>24247735.07</v>
      </c>
      <c r="E44" s="1040">
        <f t="shared" si="7"/>
        <v>181854.67</v>
      </c>
      <c r="F44" s="1041">
        <f t="shared" si="7"/>
        <v>124105261.46999997</v>
      </c>
      <c r="G44" s="1041">
        <f t="shared" si="7"/>
        <v>41766431.45999999</v>
      </c>
      <c r="H44" s="1047">
        <f t="shared" si="7"/>
        <v>46513905.82</v>
      </c>
      <c r="I44" s="1039">
        <f t="shared" si="7"/>
        <v>18620146.3</v>
      </c>
      <c r="J44" s="1039">
        <f t="shared" si="7"/>
        <v>16535859.080000002</v>
      </c>
      <c r="K44" s="1039">
        <f t="shared" si="7"/>
        <v>2577192.26</v>
      </c>
      <c r="L44" s="1047">
        <f t="shared" si="7"/>
        <v>69167285.94</v>
      </c>
      <c r="M44" s="1177">
        <f t="shared" si="7"/>
        <v>193272547.40999997</v>
      </c>
    </row>
    <row r="45" spans="1:13" ht="19.5" customHeight="1">
      <c r="A45" s="771" t="s">
        <v>587</v>
      </c>
      <c r="B45" s="1050">
        <f aca="true" t="shared" si="8" ref="B45:M45">SUM(B46:B51)</f>
        <v>13648171.69</v>
      </c>
      <c r="C45" s="665">
        <f t="shared" si="8"/>
        <v>4792908.779999999</v>
      </c>
      <c r="D45" s="664">
        <f t="shared" si="8"/>
        <v>2401461.8</v>
      </c>
      <c r="E45" s="664">
        <f t="shared" si="8"/>
        <v>0</v>
      </c>
      <c r="F45" s="659">
        <f t="shared" si="8"/>
        <v>16039618.669999998</v>
      </c>
      <c r="G45" s="659">
        <f t="shared" si="8"/>
        <v>839718.6900000001</v>
      </c>
      <c r="H45" s="738">
        <f t="shared" si="8"/>
        <v>3386658.21</v>
      </c>
      <c r="I45" s="955">
        <f t="shared" si="8"/>
        <v>475350.93000000005</v>
      </c>
      <c r="J45" s="955">
        <f t="shared" si="8"/>
        <v>196221.8</v>
      </c>
      <c r="K45" s="955">
        <f t="shared" si="8"/>
        <v>2418.28</v>
      </c>
      <c r="L45" s="738">
        <f t="shared" si="8"/>
        <v>4027736.82</v>
      </c>
      <c r="M45" s="1174">
        <f t="shared" si="8"/>
        <v>20067355.489999995</v>
      </c>
    </row>
    <row r="46" spans="1:13" ht="19.5" customHeight="1">
      <c r="A46" s="770" t="s">
        <v>393</v>
      </c>
      <c r="B46" s="652">
        <f>199916.2-183916.2+226452.77+179900+96927.34+70532</f>
        <v>589812.11</v>
      </c>
      <c r="C46" s="661">
        <v>424673.24</v>
      </c>
      <c r="D46" s="661">
        <v>346595.64</v>
      </c>
      <c r="E46" s="661"/>
      <c r="F46" s="657">
        <f aca="true" t="shared" si="9" ref="F46:F51">B46+C46-D46-E46</f>
        <v>667889.71</v>
      </c>
      <c r="G46" s="657">
        <v>0</v>
      </c>
      <c r="H46" s="1091">
        <v>0</v>
      </c>
      <c r="I46" s="650"/>
      <c r="J46" s="650"/>
      <c r="K46" s="650"/>
      <c r="L46" s="1171">
        <f aca="true" t="shared" si="10" ref="L46:L51">G46+H46-J46-K46</f>
        <v>0</v>
      </c>
      <c r="M46" s="1176">
        <f t="shared" si="2"/>
        <v>667889.71</v>
      </c>
    </row>
    <row r="47" spans="1:13" ht="19.5" customHeight="1">
      <c r="A47" s="770" t="s">
        <v>588</v>
      </c>
      <c r="B47" s="652">
        <f>1812955.34-1491648.7+834820.4+361261.28+3332.21+269210.76+518679.02</f>
        <v>2308610.31</v>
      </c>
      <c r="C47" s="661">
        <v>444772.98</v>
      </c>
      <c r="D47" s="661">
        <v>408600.05</v>
      </c>
      <c r="E47" s="661"/>
      <c r="F47" s="657">
        <f t="shared" si="9"/>
        <v>2344783.24</v>
      </c>
      <c r="G47" s="657">
        <v>0</v>
      </c>
      <c r="H47" s="1091">
        <v>0</v>
      </c>
      <c r="I47" s="650"/>
      <c r="J47" s="650"/>
      <c r="K47" s="650"/>
      <c r="L47" s="1171">
        <f t="shared" si="10"/>
        <v>0</v>
      </c>
      <c r="M47" s="1176">
        <f t="shared" si="2"/>
        <v>2344783.24</v>
      </c>
    </row>
    <row r="48" spans="1:13" ht="19.5" customHeight="1">
      <c r="A48" s="770" t="s">
        <v>394</v>
      </c>
      <c r="B48" s="657">
        <f>94578.44-50553.25</f>
        <v>44025.19</v>
      </c>
      <c r="C48" s="661">
        <v>86993.09</v>
      </c>
      <c r="D48" s="661">
        <v>74772.09</v>
      </c>
      <c r="E48" s="661"/>
      <c r="F48" s="657">
        <f t="shared" si="9"/>
        <v>56246.19</v>
      </c>
      <c r="G48" s="657">
        <f>94578.79-94578.44</f>
        <v>0.34999999999126885</v>
      </c>
      <c r="H48" s="657">
        <v>922665.87</v>
      </c>
      <c r="I48" s="650">
        <v>245402.28</v>
      </c>
      <c r="J48" s="650">
        <v>67802.28</v>
      </c>
      <c r="K48" s="650"/>
      <c r="L48" s="1171">
        <f t="shared" si="10"/>
        <v>854863.94</v>
      </c>
      <c r="M48" s="1176">
        <f t="shared" si="2"/>
        <v>911110.1299999999</v>
      </c>
    </row>
    <row r="49" spans="1:13" ht="19.5" customHeight="1">
      <c r="A49" s="770" t="s">
        <v>589</v>
      </c>
      <c r="B49" s="652">
        <f>673928.38-101926.38+106163.64+704.23+298.98</f>
        <v>679168.85</v>
      </c>
      <c r="C49" s="661">
        <v>195980.78</v>
      </c>
      <c r="D49" s="661">
        <v>145216</v>
      </c>
      <c r="E49" s="661"/>
      <c r="F49" s="657">
        <f t="shared" si="9"/>
        <v>729933.63</v>
      </c>
      <c r="G49" s="657">
        <f>727896.38-673928.38</f>
        <v>53968</v>
      </c>
      <c r="H49" s="657">
        <v>116429.94</v>
      </c>
      <c r="I49" s="650">
        <v>6615.36</v>
      </c>
      <c r="J49" s="650">
        <v>1215.36</v>
      </c>
      <c r="K49" s="650">
        <v>2418.28</v>
      </c>
      <c r="L49" s="1171">
        <f t="shared" si="10"/>
        <v>166764.30000000002</v>
      </c>
      <c r="M49" s="1176">
        <f t="shared" si="2"/>
        <v>896697.93</v>
      </c>
    </row>
    <row r="50" spans="1:13" ht="19.5" customHeight="1">
      <c r="A50" s="770" t="s">
        <v>590</v>
      </c>
      <c r="B50" s="652">
        <f>5398941.76-4299398.47+5567669.06-137500+1698222.18-100212.67+403131.37+33330+1123515.38</f>
        <v>9687698.61</v>
      </c>
      <c r="C50" s="661">
        <v>3640488.69</v>
      </c>
      <c r="D50" s="661">
        <v>1346046.76</v>
      </c>
      <c r="E50" s="661"/>
      <c r="F50" s="657">
        <f t="shared" si="9"/>
        <v>11982140.54</v>
      </c>
      <c r="G50" s="657">
        <v>0</v>
      </c>
      <c r="H50" s="657">
        <v>519828.43</v>
      </c>
      <c r="I50" s="650">
        <v>107729.13</v>
      </c>
      <c r="J50" s="650">
        <v>11600</v>
      </c>
      <c r="K50" s="661"/>
      <c r="L50" s="1171">
        <f t="shared" si="10"/>
        <v>508228.43</v>
      </c>
      <c r="M50" s="1176">
        <f t="shared" si="2"/>
        <v>12490368.969999999</v>
      </c>
    </row>
    <row r="51" spans="1:13" ht="19.5" customHeight="1">
      <c r="A51" s="770" t="s">
        <v>521</v>
      </c>
      <c r="B51" s="652">
        <f>370940.24-164927.79+113240.9-2361.1+26775.81-4811.44</f>
        <v>338856.62</v>
      </c>
      <c r="C51" s="661">
        <v>0</v>
      </c>
      <c r="D51" s="661">
        <v>80231.26</v>
      </c>
      <c r="E51" s="661"/>
      <c r="F51" s="657">
        <f t="shared" si="9"/>
        <v>258625.36</v>
      </c>
      <c r="G51" s="657">
        <f>1156690.58-370940.24</f>
        <v>785750.3400000001</v>
      </c>
      <c r="H51" s="657">
        <v>1827733.97</v>
      </c>
      <c r="I51" s="650">
        <v>115604.16</v>
      </c>
      <c r="J51" s="650">
        <v>115604.16</v>
      </c>
      <c r="K51" s="650"/>
      <c r="L51" s="1171">
        <f t="shared" si="10"/>
        <v>2497880.15</v>
      </c>
      <c r="M51" s="1176">
        <f t="shared" si="2"/>
        <v>2756505.51</v>
      </c>
    </row>
    <row r="52" spans="1:13" ht="19.5" customHeight="1">
      <c r="A52" s="772" t="s">
        <v>591</v>
      </c>
      <c r="B52" s="655">
        <f aca="true" t="shared" si="11" ref="B52:J52">SUM(B53:B58)</f>
        <v>94106866.50999998</v>
      </c>
      <c r="C52" s="655">
        <f t="shared" si="11"/>
        <v>35986904.230000004</v>
      </c>
      <c r="D52" s="655">
        <f t="shared" si="11"/>
        <v>21846273.27</v>
      </c>
      <c r="E52" s="655">
        <f t="shared" si="11"/>
        <v>181854.67</v>
      </c>
      <c r="F52" s="655">
        <f t="shared" si="11"/>
        <v>108065642.79999997</v>
      </c>
      <c r="G52" s="655">
        <f t="shared" si="11"/>
        <v>40926712.769999996</v>
      </c>
      <c r="H52" s="655">
        <f t="shared" si="11"/>
        <v>43127247.61</v>
      </c>
      <c r="I52" s="655">
        <f t="shared" si="11"/>
        <v>18144795.37</v>
      </c>
      <c r="J52" s="655">
        <f t="shared" si="11"/>
        <v>16339637.280000001</v>
      </c>
      <c r="K52" s="655">
        <f>SUM(K53:K58)</f>
        <v>2574773.98</v>
      </c>
      <c r="L52" s="1170">
        <f>SUM(L53:L58)</f>
        <v>65139549.12</v>
      </c>
      <c r="M52" s="1175">
        <f>SUM(M53:M58)</f>
        <v>173205191.92</v>
      </c>
    </row>
    <row r="53" spans="1:15" ht="19.5" customHeight="1">
      <c r="A53" s="770" t="s">
        <v>592</v>
      </c>
      <c r="B53" s="666">
        <f>44155140.22+234722.68-28906743.05-234722.68+36865862.21+444348.37-4178605.8+13149101+255222-139674.83+5996218.06+0.96-288715.28+1275689.85+681174.53</f>
        <v>69309018.23999998</v>
      </c>
      <c r="C53" s="661">
        <v>18766702.85</v>
      </c>
      <c r="D53" s="661">
        <v>9955831.6</v>
      </c>
      <c r="E53" s="661">
        <v>181854.67</v>
      </c>
      <c r="F53" s="657">
        <f aca="true" t="shared" si="12" ref="F53:F58">B53+C53-D53-E53</f>
        <v>77938034.81999998</v>
      </c>
      <c r="G53" s="657">
        <f>61719222.93+1252804.41-44155140.22-234722.68+43015577.88+1052934.38-36865862.21-444348.37+17320769.21+870344.08-13149101-255222+10906835.96+336230.63-5996218.06-0.96+3240047.25-1275689.85</f>
        <v>37338461.379999995</v>
      </c>
      <c r="H53" s="657">
        <v>28874069.91</v>
      </c>
      <c r="I53" s="650">
        <v>12729143.38</v>
      </c>
      <c r="J53" s="650">
        <v>12209477.15</v>
      </c>
      <c r="K53" s="650">
        <v>1935704.57</v>
      </c>
      <c r="L53" s="1171">
        <f aca="true" t="shared" si="13" ref="L53:L60">G53+H53-J53-K53</f>
        <v>52067349.56999999</v>
      </c>
      <c r="M53" s="1176">
        <f t="shared" si="2"/>
        <v>130005384.38999997</v>
      </c>
      <c r="N53" s="815"/>
      <c r="O53" s="815"/>
    </row>
    <row r="54" spans="1:13" ht="19.5" customHeight="1">
      <c r="A54" s="770" t="s">
        <v>593</v>
      </c>
      <c r="B54" s="652">
        <f>7028054.62-6766220.97+14901920.29-937278.58+1609285.39+67967.51+2263.19+22748.59</f>
        <v>15928740.04</v>
      </c>
      <c r="C54" s="661">
        <v>6103931.89</v>
      </c>
      <c r="D54" s="661">
        <v>4318866.1</v>
      </c>
      <c r="E54" s="661"/>
      <c r="F54" s="657">
        <f t="shared" si="12"/>
        <v>17713805.83</v>
      </c>
      <c r="G54" s="657"/>
      <c r="H54" s="657">
        <v>11882276.55</v>
      </c>
      <c r="I54" s="650">
        <v>4595811.04</v>
      </c>
      <c r="J54" s="650">
        <v>3449274.34</v>
      </c>
      <c r="K54" s="650"/>
      <c r="L54" s="1171">
        <f t="shared" si="13"/>
        <v>8433002.21</v>
      </c>
      <c r="M54" s="1176">
        <f t="shared" si="2"/>
        <v>26146808.04</v>
      </c>
    </row>
    <row r="55" spans="1:13" ht="19.5" customHeight="1">
      <c r="A55" s="770" t="s">
        <v>395</v>
      </c>
      <c r="B55" s="652">
        <f>2836846.22-1823976.55+1447206.29+1065559.92-48864+752492.04+340872.62+445263.42</f>
        <v>5015399.96</v>
      </c>
      <c r="C55" s="662">
        <v>1619783.55</v>
      </c>
      <c r="D55" s="661">
        <v>417506.12</v>
      </c>
      <c r="E55" s="661"/>
      <c r="F55" s="657">
        <f t="shared" si="12"/>
        <v>6217677.39</v>
      </c>
      <c r="G55" s="657"/>
      <c r="H55" s="657">
        <v>1941520.3</v>
      </c>
      <c r="I55" s="650">
        <v>819840.95</v>
      </c>
      <c r="J55" s="650">
        <v>680885.79</v>
      </c>
      <c r="K55" s="650">
        <v>639069.41</v>
      </c>
      <c r="L55" s="1171">
        <f t="shared" si="13"/>
        <v>621565.1</v>
      </c>
      <c r="M55" s="1176">
        <f t="shared" si="2"/>
        <v>6839242.489999999</v>
      </c>
    </row>
    <row r="56" spans="1:13" ht="19.5" customHeight="1">
      <c r="A56" s="770" t="s">
        <v>594</v>
      </c>
      <c r="B56" s="652">
        <f>72402.79-27046.79+522432.03+404557.09+4708+2274+9913.3</f>
        <v>989240.4200000002</v>
      </c>
      <c r="C56" s="662">
        <v>240586</v>
      </c>
      <c r="D56" s="661">
        <v>120000</v>
      </c>
      <c r="E56" s="661"/>
      <c r="F56" s="657">
        <f t="shared" si="12"/>
        <v>1109826.4200000002</v>
      </c>
      <c r="G56" s="657"/>
      <c r="H56" s="657">
        <v>422110.6</v>
      </c>
      <c r="I56" s="650"/>
      <c r="J56" s="650"/>
      <c r="K56" s="650"/>
      <c r="L56" s="1171">
        <f t="shared" si="13"/>
        <v>422110.6</v>
      </c>
      <c r="M56" s="1176">
        <f t="shared" si="2"/>
        <v>1531937.02</v>
      </c>
    </row>
    <row r="57" spans="1:13" ht="19.5" customHeight="1">
      <c r="A57" s="770" t="s">
        <v>829</v>
      </c>
      <c r="B57" s="652">
        <v>11784.98</v>
      </c>
      <c r="C57" s="662">
        <v>1018.12</v>
      </c>
      <c r="D57" s="661"/>
      <c r="E57" s="661"/>
      <c r="F57" s="657">
        <f t="shared" si="12"/>
        <v>12803.1</v>
      </c>
      <c r="G57" s="657"/>
      <c r="H57" s="657">
        <v>7270.25</v>
      </c>
      <c r="I57" s="650"/>
      <c r="J57" s="650"/>
      <c r="K57" s="650"/>
      <c r="L57" s="1171">
        <f t="shared" si="13"/>
        <v>7270.25</v>
      </c>
      <c r="M57" s="1176">
        <f t="shared" si="2"/>
        <v>20073.35</v>
      </c>
    </row>
    <row r="58" spans="1:13" ht="19.5" customHeight="1">
      <c r="A58" s="1045" t="s">
        <v>396</v>
      </c>
      <c r="B58" s="652">
        <f>2582722.99+123360+140882.38+5717.5</f>
        <v>2852682.87</v>
      </c>
      <c r="C58" s="1042">
        <v>9254881.82</v>
      </c>
      <c r="D58" s="1042">
        <v>7034069.45</v>
      </c>
      <c r="E58" s="1042"/>
      <c r="F58" s="1043">
        <f t="shared" si="12"/>
        <v>5073495.240000001</v>
      </c>
      <c r="G58" s="1043">
        <f>6485627.79-5379546.76+3389413.82-2582722.99+1345323.48-123360+40871.18+553527.25-140882.38</f>
        <v>3588251.3899999997</v>
      </c>
      <c r="H58" s="1043"/>
      <c r="I58" s="1044"/>
      <c r="J58" s="1044"/>
      <c r="K58" s="1044"/>
      <c r="L58" s="1171">
        <f t="shared" si="13"/>
        <v>3588251.3899999997</v>
      </c>
      <c r="M58" s="1176">
        <f t="shared" si="2"/>
        <v>8661746.63</v>
      </c>
    </row>
    <row r="59" spans="1:13" ht="12.75" customHeight="1">
      <c r="A59" s="1055"/>
      <c r="B59" s="1055"/>
      <c r="C59" s="1056"/>
      <c r="D59" s="1052"/>
      <c r="E59" s="1052"/>
      <c r="F59" s="1057"/>
      <c r="G59" s="1057"/>
      <c r="H59" s="1055"/>
      <c r="I59" s="1054"/>
      <c r="J59" s="1054"/>
      <c r="K59" s="1058"/>
      <c r="L59" s="1172"/>
      <c r="M59" s="1176">
        <f t="shared" si="2"/>
        <v>0</v>
      </c>
    </row>
    <row r="60" spans="1:13" ht="19.5" customHeight="1">
      <c r="A60" s="1038" t="s">
        <v>397</v>
      </c>
      <c r="B60" s="1039">
        <f aca="true" t="shared" si="14" ref="B60:H60">B11</f>
        <v>363002240.64</v>
      </c>
      <c r="C60" s="1039">
        <f t="shared" si="14"/>
        <v>166027180.26</v>
      </c>
      <c r="D60" s="1040">
        <f t="shared" si="14"/>
        <v>89726308.35999998</v>
      </c>
      <c r="E60" s="1041">
        <f t="shared" si="14"/>
        <v>283565.37</v>
      </c>
      <c r="F60" s="1041">
        <f>B60+C60-D60-E60</f>
        <v>439019547.16999996</v>
      </c>
      <c r="G60" s="1041">
        <f t="shared" si="14"/>
        <v>91982761.89</v>
      </c>
      <c r="H60" s="1041">
        <f t="shared" si="14"/>
        <v>145783179.92000002</v>
      </c>
      <c r="I60" s="1041">
        <f>I12+I14</f>
        <v>46803006.050000004</v>
      </c>
      <c r="J60" s="1041">
        <f>J12+J14</f>
        <v>35595030.519999996</v>
      </c>
      <c r="K60" s="1041">
        <f>K12+K14</f>
        <v>7984481.78</v>
      </c>
      <c r="L60" s="1167">
        <f t="shared" si="13"/>
        <v>194186429.51000002</v>
      </c>
      <c r="M60" s="1177">
        <f>M11</f>
        <v>633205976.6800001</v>
      </c>
    </row>
    <row r="61" spans="1:12" ht="19.5" customHeight="1">
      <c r="A61" s="671" t="str">
        <f>'[13]Anexo VII _ RES PRIM'!A68</f>
        <v>FONTE: SECRETARIA MUNICIPAL DA FAZENDA</v>
      </c>
      <c r="B61" s="672"/>
      <c r="C61" s="985"/>
      <c r="D61" s="647"/>
      <c r="E61" s="986"/>
      <c r="F61" s="647"/>
      <c r="G61" s="956"/>
      <c r="H61" s="670"/>
      <c r="I61" s="670"/>
      <c r="J61" s="670"/>
      <c r="K61" s="987"/>
      <c r="L61" s="957"/>
    </row>
    <row r="62" spans="1:12" ht="19.5" customHeight="1">
      <c r="A62" s="958" t="str">
        <f>'Anexo 5 _ RES NOM'!A45</f>
        <v>  São Luís, 22 de Maio de 2015</v>
      </c>
      <c r="B62" s="672"/>
      <c r="C62" s="672"/>
      <c r="D62" s="673"/>
      <c r="E62" s="984"/>
      <c r="F62" s="674"/>
      <c r="G62" s="956"/>
      <c r="H62" s="773"/>
      <c r="I62" s="675"/>
      <c r="J62" s="693"/>
      <c r="K62" s="988"/>
      <c r="L62" s="959"/>
    </row>
    <row r="63" spans="1:12" ht="19.5" customHeight="1">
      <c r="A63" s="676"/>
      <c r="B63" s="678"/>
      <c r="C63" s="644"/>
      <c r="D63" s="667"/>
      <c r="E63" s="667"/>
      <c r="F63" s="667"/>
      <c r="G63" s="960"/>
      <c r="H63" s="677"/>
      <c r="I63" s="667"/>
      <c r="J63" s="667"/>
      <c r="K63" s="667"/>
      <c r="L63" s="961"/>
    </row>
    <row r="64" spans="1:12" ht="19.5" customHeight="1">
      <c r="A64" s="668"/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78"/>
    </row>
    <row r="65" spans="1:12" ht="19.5" customHeight="1">
      <c r="A65" s="668"/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962"/>
    </row>
    <row r="66" spans="1:12" ht="19.5" customHeight="1">
      <c r="A66" s="668"/>
      <c r="B66" s="679"/>
      <c r="C66" s="644"/>
      <c r="D66" s="669"/>
      <c r="E66" s="669"/>
      <c r="F66" s="678"/>
      <c r="G66" s="678"/>
      <c r="H66" s="678"/>
      <c r="I66" s="678"/>
      <c r="J66" s="669"/>
      <c r="K66" s="678"/>
      <c r="L66" s="634"/>
    </row>
    <row r="67" spans="1:12" ht="19.5" customHeight="1">
      <c r="A67" s="1746" t="s">
        <v>837</v>
      </c>
      <c r="B67" s="1746"/>
      <c r="C67" s="1746"/>
      <c r="D67" s="827"/>
      <c r="E67" s="669"/>
      <c r="F67" s="1733" t="s">
        <v>833</v>
      </c>
      <c r="G67" s="1733"/>
      <c r="H67" s="1733"/>
      <c r="I67" s="669"/>
      <c r="J67" s="667"/>
      <c r="K67" s="678"/>
      <c r="L67" s="634"/>
    </row>
    <row r="68" spans="1:12" ht="13.5" customHeight="1">
      <c r="A68" s="1734" t="s">
        <v>832</v>
      </c>
      <c r="B68" s="1734"/>
      <c r="C68" s="1734"/>
      <c r="D68" s="828"/>
      <c r="E68" s="669"/>
      <c r="F68" s="1734" t="s">
        <v>834</v>
      </c>
      <c r="G68" s="1734"/>
      <c r="H68" s="1734"/>
      <c r="I68" s="669"/>
      <c r="J68" s="669"/>
      <c r="K68" s="669"/>
      <c r="L68" s="634"/>
    </row>
    <row r="69" spans="1:12" ht="19.5" customHeight="1">
      <c r="A69" s="668"/>
      <c r="B69" s="669"/>
      <c r="C69" s="644"/>
      <c r="D69" s="669"/>
      <c r="E69" s="669"/>
      <c r="F69" s="669"/>
      <c r="G69" s="669"/>
      <c r="H69" s="669"/>
      <c r="I69" s="669"/>
      <c r="J69" s="669"/>
      <c r="K69" s="669"/>
      <c r="L69" s="634"/>
    </row>
    <row r="70" spans="1:12" ht="19.5" customHeight="1">
      <c r="A70" s="668"/>
      <c r="B70" s="669"/>
      <c r="C70" s="644"/>
      <c r="D70" s="669"/>
      <c r="E70" s="669"/>
      <c r="F70" s="669"/>
      <c r="G70" s="669"/>
      <c r="H70" s="669"/>
      <c r="I70" s="669"/>
      <c r="J70" s="669"/>
      <c r="K70" s="669"/>
      <c r="L70" s="634"/>
    </row>
    <row r="71" spans="1:12" ht="19.5" customHeight="1">
      <c r="A71" s="668"/>
      <c r="B71" s="669"/>
      <c r="C71" s="644"/>
      <c r="D71" s="669"/>
      <c r="E71" s="669"/>
      <c r="F71" s="669"/>
      <c r="G71" s="669"/>
      <c r="H71" s="669"/>
      <c r="I71" s="669"/>
      <c r="J71" s="669"/>
      <c r="K71" s="669"/>
      <c r="L71" s="634"/>
    </row>
    <row r="72" spans="1:12" ht="19.5" customHeight="1">
      <c r="A72" s="668"/>
      <c r="B72" s="1731" t="s">
        <v>835</v>
      </c>
      <c r="C72" s="1731"/>
      <c r="D72" s="1731"/>
      <c r="E72" s="1731"/>
      <c r="F72" s="669"/>
      <c r="G72" s="669"/>
      <c r="H72" s="669"/>
      <c r="I72" s="669"/>
      <c r="J72" s="669"/>
      <c r="K72" s="669"/>
      <c r="L72" s="634"/>
    </row>
    <row r="73" spans="2:5" ht="12" customHeight="1">
      <c r="B73" s="1732" t="s">
        <v>836</v>
      </c>
      <c r="C73" s="1732"/>
      <c r="D73" s="1732"/>
      <c r="E73" s="1732"/>
    </row>
    <row r="76" ht="12.75">
      <c r="F76" s="1063"/>
    </row>
    <row r="80" ht="12.75">
      <c r="I80" s="1063"/>
    </row>
  </sheetData>
  <sheetProtection/>
  <mergeCells count="23">
    <mergeCell ref="A1:E1"/>
    <mergeCell ref="F1:K1"/>
    <mergeCell ref="A2:K2"/>
    <mergeCell ref="A5:F5"/>
    <mergeCell ref="A8:A10"/>
    <mergeCell ref="B8:F8"/>
    <mergeCell ref="G8:L8"/>
    <mergeCell ref="M8:M10"/>
    <mergeCell ref="A67:C67"/>
    <mergeCell ref="A68:C68"/>
    <mergeCell ref="I9:I10"/>
    <mergeCell ref="J9:J10"/>
    <mergeCell ref="K9:K10"/>
    <mergeCell ref="B72:E72"/>
    <mergeCell ref="B73:E73"/>
    <mergeCell ref="F67:H67"/>
    <mergeCell ref="F68:H68"/>
    <mergeCell ref="L9:L10"/>
    <mergeCell ref="F9:F10"/>
    <mergeCell ref="G9:H9"/>
    <mergeCell ref="B9:C9"/>
    <mergeCell ref="D9:D10"/>
    <mergeCell ref="E9:E10"/>
  </mergeCells>
  <printOptions/>
  <pageMargins left="0.2362204724409449" right="0.15748031496062992" top="0.5511811023622047" bottom="0.4330708661417323" header="0.31496062992125984" footer="0.31496062992125984"/>
  <pageSetup horizontalDpi="600" verticalDpi="600" orientation="portrait" paperSize="9" scale="52" r:id="rId2"/>
  <ignoredErrors>
    <ignoredError sqref="F11:F12 L52:M52 F60 F52 L11:L1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10"/>
  <sheetViews>
    <sheetView showGridLines="0" zoomScaleSheetLayoutView="100" zoomScalePageLayoutView="0" workbookViewId="0" topLeftCell="C181">
      <selection activeCell="K196" sqref="K196"/>
    </sheetView>
  </sheetViews>
  <sheetFormatPr defaultColWidth="9.140625" defaultRowHeight="12.75"/>
  <cols>
    <col min="1" max="1" width="72.8515625" style="161" customWidth="1"/>
    <col min="2" max="2" width="14.28125" style="288" customWidth="1"/>
    <col min="3" max="3" width="20.140625" style="288" bestFit="1" customWidth="1"/>
    <col min="4" max="4" width="14.57421875" style="288" customWidth="1"/>
    <col min="5" max="5" width="8.57421875" style="288" customWidth="1"/>
    <col min="6" max="6" width="13.28125" style="288" customWidth="1"/>
    <col min="7" max="7" width="11.140625" style="288" customWidth="1"/>
    <col min="8" max="8" width="16.28125" style="288" customWidth="1"/>
    <col min="9" max="9" width="8.00390625" style="288" customWidth="1"/>
    <col min="10" max="10" width="9.140625" style="288" customWidth="1"/>
    <col min="11" max="11" width="17.28125" style="288" customWidth="1"/>
    <col min="12" max="16384" width="9.140625" style="288" customWidth="1"/>
  </cols>
  <sheetData>
    <row r="1" spans="1:9" s="121" customFormat="1" ht="12.75">
      <c r="A1" s="1488" t="s">
        <v>182</v>
      </c>
      <c r="B1" s="1488"/>
      <c r="C1" s="1488"/>
      <c r="D1" s="1488"/>
      <c r="E1" s="1488"/>
      <c r="F1" s="1488"/>
      <c r="G1" s="1488"/>
      <c r="H1" s="487"/>
      <c r="I1" s="1088"/>
    </row>
    <row r="2" spans="1:9" s="121" customFormat="1" ht="12.75">
      <c r="A2" s="1488" t="s">
        <v>0</v>
      </c>
      <c r="B2" s="1488"/>
      <c r="C2" s="1488"/>
      <c r="D2" s="1488"/>
      <c r="E2" s="1488"/>
      <c r="F2" s="1488"/>
      <c r="G2" s="1488"/>
      <c r="H2" s="487"/>
      <c r="I2" s="1088"/>
    </row>
    <row r="3" spans="1:9" s="121" customFormat="1" ht="12.75">
      <c r="A3" s="486" t="s">
        <v>398</v>
      </c>
      <c r="B3" s="489"/>
      <c r="C3" s="489"/>
      <c r="D3" s="175"/>
      <c r="E3" s="602"/>
      <c r="F3" s="602" t="str">
        <f>'Anexo 7 _  RP'!I6</f>
        <v>Publicação: Diário Oficial do Município nº 96</v>
      </c>
      <c r="G3" s="489"/>
      <c r="H3" s="486"/>
      <c r="I3" s="1088"/>
    </row>
    <row r="4" spans="1:9" s="121" customFormat="1" ht="12.75">
      <c r="A4" s="487" t="s">
        <v>2</v>
      </c>
      <c r="B4" s="490"/>
      <c r="C4" s="490"/>
      <c r="D4" s="602"/>
      <c r="E4" s="602"/>
      <c r="F4" s="602" t="str">
        <f>'Anexo 7 _  RP'!I7</f>
        <v>Data: 22/05/2015</v>
      </c>
      <c r="G4" s="490"/>
      <c r="H4" s="487"/>
      <c r="I4" s="1088"/>
    </row>
    <row r="5" spans="1:9" s="476" customFormat="1" ht="14.25" customHeight="1">
      <c r="A5" s="1772" t="str">
        <f>'Anexo 1 _ BAL ORC'!A4</f>
        <v>Referência: JANEIRO-ABRIL/2015; BIMESTRE: MARÇO-ABRIL/2015</v>
      </c>
      <c r="B5" s="1772"/>
      <c r="C5" s="490"/>
      <c r="D5" s="490"/>
      <c r="E5" s="490"/>
      <c r="F5" s="490"/>
      <c r="G5" s="490"/>
      <c r="H5" s="487"/>
      <c r="I5" s="1245"/>
    </row>
    <row r="6" spans="1:9" s="113" customFormat="1" ht="8.25" customHeight="1">
      <c r="A6" s="1809"/>
      <c r="B6" s="1809"/>
      <c r="C6" s="1809"/>
      <c r="D6" s="1809"/>
      <c r="E6" s="1809"/>
      <c r="F6" s="1809"/>
      <c r="G6" s="1809"/>
      <c r="H6" s="1200"/>
      <c r="I6" s="1246"/>
    </row>
    <row r="7" spans="1:9" ht="14.25" customHeight="1">
      <c r="A7" s="471" t="s">
        <v>656</v>
      </c>
      <c r="B7" s="1247"/>
      <c r="C7" s="1247"/>
      <c r="D7" s="320"/>
      <c r="E7" s="1247"/>
      <c r="F7" s="1247"/>
      <c r="G7" s="1248"/>
      <c r="H7" s="1249" t="s">
        <v>536</v>
      </c>
      <c r="I7" s="1250" t="s">
        <v>536</v>
      </c>
    </row>
    <row r="8" spans="1:9" ht="14.25" customHeight="1">
      <c r="A8" s="1801" t="s">
        <v>399</v>
      </c>
      <c r="B8" s="1802" t="s">
        <v>400</v>
      </c>
      <c r="C8" s="1803" t="s">
        <v>316</v>
      </c>
      <c r="D8" s="1807" t="s">
        <v>216</v>
      </c>
      <c r="E8" s="1808"/>
      <c r="F8" s="1808"/>
      <c r="G8" s="1786"/>
      <c r="H8" s="1786"/>
      <c r="I8" s="1787"/>
    </row>
    <row r="9" spans="1:9" ht="12.75" customHeight="1">
      <c r="A9" s="1801"/>
      <c r="B9" s="1810"/>
      <c r="C9" s="1803"/>
      <c r="D9" s="1811" t="s">
        <v>103</v>
      </c>
      <c r="E9" s="1812"/>
      <c r="F9" s="1812"/>
      <c r="G9" s="1785" t="s">
        <v>99</v>
      </c>
      <c r="H9" s="1786"/>
      <c r="I9" s="1787"/>
    </row>
    <row r="10" spans="1:9" ht="11.25" customHeight="1">
      <c r="A10" s="1801"/>
      <c r="B10" s="1607"/>
      <c r="C10" s="566" t="s">
        <v>105</v>
      </c>
      <c r="D10" s="1813" t="s">
        <v>106</v>
      </c>
      <c r="E10" s="1814"/>
      <c r="F10" s="1814"/>
      <c r="G10" s="1815" t="s">
        <v>873</v>
      </c>
      <c r="H10" s="1816"/>
      <c r="I10" s="1817"/>
    </row>
    <row r="11" spans="1:9" ht="15" customHeight="1">
      <c r="A11" s="372" t="s">
        <v>527</v>
      </c>
      <c r="B11" s="564">
        <f>B12</f>
        <v>675088358</v>
      </c>
      <c r="C11" s="564">
        <f>C12</f>
        <v>675088358</v>
      </c>
      <c r="D11" s="1782">
        <f>D12</f>
        <v>178882294.25</v>
      </c>
      <c r="E11" s="1783"/>
      <c r="F11" s="1784"/>
      <c r="G11" s="1779">
        <f>(D11/C11)*100</f>
        <v>26.497612072581468</v>
      </c>
      <c r="H11" s="1780"/>
      <c r="I11" s="1781"/>
    </row>
    <row r="12" spans="1:9" ht="18.75" customHeight="1">
      <c r="A12" s="302" t="s">
        <v>526</v>
      </c>
      <c r="B12" s="564">
        <f>B13+B19+B25+B31+B37</f>
        <v>675088358</v>
      </c>
      <c r="C12" s="564">
        <f>C13+C19+C25+C31+C37</f>
        <v>675088358</v>
      </c>
      <c r="D12" s="1782">
        <f>D13+D19+D25+D31</f>
        <v>178882294.25</v>
      </c>
      <c r="E12" s="1783"/>
      <c r="F12" s="1784"/>
      <c r="G12" s="1779">
        <f aca="true" t="shared" si="0" ref="G12:G53">(D12/C12)*100</f>
        <v>26.497612072581468</v>
      </c>
      <c r="H12" s="1780"/>
      <c r="I12" s="1781"/>
    </row>
    <row r="13" spans="1:9" s="593" customFormat="1" ht="17.25" customHeight="1">
      <c r="A13" s="491" t="s">
        <v>401</v>
      </c>
      <c r="B13" s="564">
        <f>B14+B15+B16+B17-B18</f>
        <v>66589269</v>
      </c>
      <c r="C13" s="564">
        <f>C14+C15+C16+C17-C18</f>
        <v>66589269</v>
      </c>
      <c r="D13" s="1782">
        <f>D14+D15+D16+D17-D18</f>
        <v>6142668.41</v>
      </c>
      <c r="E13" s="1783"/>
      <c r="F13" s="1784"/>
      <c r="G13" s="1779">
        <f t="shared" si="0"/>
        <v>9.224712182979514</v>
      </c>
      <c r="H13" s="1780"/>
      <c r="I13" s="1781"/>
    </row>
    <row r="14" spans="1:9" s="374" customFormat="1" ht="18" customHeight="1">
      <c r="A14" s="303" t="s">
        <v>662</v>
      </c>
      <c r="B14" s="559">
        <v>51278597</v>
      </c>
      <c r="C14" s="563">
        <f>B14</f>
        <v>51278597</v>
      </c>
      <c r="D14" s="1756">
        <v>693862.85</v>
      </c>
      <c r="E14" s="1757"/>
      <c r="F14" s="1758"/>
      <c r="G14" s="1779">
        <f t="shared" si="0"/>
        <v>1.3531237018828732</v>
      </c>
      <c r="H14" s="1780"/>
      <c r="I14" s="1781"/>
    </row>
    <row r="15" spans="1:9" s="374" customFormat="1" ht="15" customHeight="1">
      <c r="A15" s="303" t="s">
        <v>657</v>
      </c>
      <c r="B15" s="563">
        <v>660661</v>
      </c>
      <c r="C15" s="563">
        <f>B15</f>
        <v>660661</v>
      </c>
      <c r="D15" s="1756">
        <v>2504.19</v>
      </c>
      <c r="E15" s="1757"/>
      <c r="F15" s="1758"/>
      <c r="G15" s="1779">
        <f t="shared" si="0"/>
        <v>0.37904310985512996</v>
      </c>
      <c r="H15" s="1780"/>
      <c r="I15" s="1781"/>
    </row>
    <row r="16" spans="1:9" s="374" customFormat="1" ht="15" customHeight="1">
      <c r="A16" s="303" t="s">
        <v>663</v>
      </c>
      <c r="B16" s="563">
        <v>11562881</v>
      </c>
      <c r="C16" s="563">
        <f>B16</f>
        <v>11562881</v>
      </c>
      <c r="D16" s="1756">
        <v>4222334.38</v>
      </c>
      <c r="E16" s="1757"/>
      <c r="F16" s="1758"/>
      <c r="G16" s="1779">
        <f t="shared" si="0"/>
        <v>36.51628326884969</v>
      </c>
      <c r="H16" s="1780"/>
      <c r="I16" s="1781"/>
    </row>
    <row r="17" spans="1:9" s="374" customFormat="1" ht="15" customHeight="1">
      <c r="A17" s="303" t="s">
        <v>664</v>
      </c>
      <c r="B17" s="563">
        <v>3087130</v>
      </c>
      <c r="C17" s="563">
        <f>B17</f>
        <v>3087130</v>
      </c>
      <c r="D17" s="1756">
        <v>1237242.32</v>
      </c>
      <c r="E17" s="1757"/>
      <c r="F17" s="1758"/>
      <c r="G17" s="1779">
        <f t="shared" si="0"/>
        <v>40.07742855014204</v>
      </c>
      <c r="H17" s="1780"/>
      <c r="I17" s="1781"/>
    </row>
    <row r="18" spans="1:9" s="374" customFormat="1" ht="15" customHeight="1">
      <c r="A18" s="303" t="s">
        <v>665</v>
      </c>
      <c r="B18" s="563"/>
      <c r="C18" s="563"/>
      <c r="D18" s="1756">
        <v>13275.33</v>
      </c>
      <c r="E18" s="1757"/>
      <c r="F18" s="1758"/>
      <c r="G18" s="1779"/>
      <c r="H18" s="1780"/>
      <c r="I18" s="1781"/>
    </row>
    <row r="19" spans="1:9" s="593" customFormat="1" ht="15" customHeight="1">
      <c r="A19" s="491" t="s">
        <v>402</v>
      </c>
      <c r="B19" s="564">
        <f>B20+B21+B22+B23-B24</f>
        <v>30629116</v>
      </c>
      <c r="C19" s="564">
        <f>C20+C21+C22+C23-C24</f>
        <v>30629116</v>
      </c>
      <c r="D19" s="1782">
        <f>D20+D21+D22+D23-D24</f>
        <v>9783061.67</v>
      </c>
      <c r="E19" s="1783"/>
      <c r="F19" s="1784"/>
      <c r="G19" s="1779">
        <f t="shared" si="0"/>
        <v>31.940398377804964</v>
      </c>
      <c r="H19" s="1780"/>
      <c r="I19" s="1781"/>
    </row>
    <row r="20" spans="1:9" s="374" customFormat="1" ht="15" customHeight="1">
      <c r="A20" s="303" t="s">
        <v>658</v>
      </c>
      <c r="B20" s="563">
        <v>30629116</v>
      </c>
      <c r="C20" s="563">
        <f>B20</f>
        <v>30629116</v>
      </c>
      <c r="D20" s="1756">
        <v>9794326.19</v>
      </c>
      <c r="E20" s="1757"/>
      <c r="F20" s="1758"/>
      <c r="G20" s="1779">
        <f t="shared" si="0"/>
        <v>31.97717554107666</v>
      </c>
      <c r="H20" s="1780"/>
      <c r="I20" s="1781"/>
    </row>
    <row r="21" spans="1:9" s="374" customFormat="1" ht="15" customHeight="1">
      <c r="A21" s="303" t="s">
        <v>660</v>
      </c>
      <c r="B21" s="563"/>
      <c r="C21" s="563">
        <f>B21</f>
        <v>0</v>
      </c>
      <c r="D21" s="1756"/>
      <c r="E21" s="1757"/>
      <c r="F21" s="1758"/>
      <c r="G21" s="1779"/>
      <c r="H21" s="1780"/>
      <c r="I21" s="1781"/>
    </row>
    <row r="22" spans="1:9" s="374" customFormat="1" ht="15" customHeight="1">
      <c r="A22" s="303" t="s">
        <v>659</v>
      </c>
      <c r="B22" s="563"/>
      <c r="C22" s="563">
        <f>B22</f>
        <v>0</v>
      </c>
      <c r="D22" s="1756"/>
      <c r="E22" s="1757"/>
      <c r="F22" s="1758"/>
      <c r="G22" s="1779"/>
      <c r="H22" s="1780"/>
      <c r="I22" s="1781"/>
    </row>
    <row r="23" spans="1:9" s="374" customFormat="1" ht="15" customHeight="1">
      <c r="A23" s="303" t="s">
        <v>675</v>
      </c>
      <c r="B23" s="563"/>
      <c r="C23" s="563">
        <f>B23</f>
        <v>0</v>
      </c>
      <c r="D23" s="1756"/>
      <c r="E23" s="1757"/>
      <c r="F23" s="1758"/>
      <c r="G23" s="1779"/>
      <c r="H23" s="1780"/>
      <c r="I23" s="1781"/>
    </row>
    <row r="24" spans="1:9" s="374" customFormat="1" ht="15" customHeight="1">
      <c r="A24" s="303" t="s">
        <v>661</v>
      </c>
      <c r="B24" s="563"/>
      <c r="C24" s="563"/>
      <c r="D24" s="1756">
        <v>11264.52</v>
      </c>
      <c r="E24" s="1757"/>
      <c r="F24" s="1758"/>
      <c r="G24" s="1779"/>
      <c r="H24" s="1780"/>
      <c r="I24" s="1781"/>
    </row>
    <row r="25" spans="1:9" s="593" customFormat="1" ht="15" customHeight="1">
      <c r="A25" s="491" t="s">
        <v>403</v>
      </c>
      <c r="B25" s="564">
        <f>B26+B27+B28+B29-B30</f>
        <v>534599724</v>
      </c>
      <c r="C25" s="564">
        <f>C26+C27+C28+C29-C30</f>
        <v>534599724</v>
      </c>
      <c r="D25" s="1782">
        <f>D26+D27+D28+D29-D30</f>
        <v>144970105.85</v>
      </c>
      <c r="E25" s="1783"/>
      <c r="F25" s="1784"/>
      <c r="G25" s="1779">
        <f t="shared" si="0"/>
        <v>27.11750480626885</v>
      </c>
      <c r="H25" s="1780"/>
      <c r="I25" s="1781"/>
    </row>
    <row r="26" spans="1:9" s="374" customFormat="1" ht="15" customHeight="1">
      <c r="A26" s="303" t="s">
        <v>666</v>
      </c>
      <c r="B26" s="563">
        <v>509804371</v>
      </c>
      <c r="C26" s="563">
        <f>B26</f>
        <v>509804371</v>
      </c>
      <c r="D26" s="1756">
        <v>137835905.3</v>
      </c>
      <c r="E26" s="1757"/>
      <c r="F26" s="1758"/>
      <c r="G26" s="1779">
        <f t="shared" si="0"/>
        <v>27.03701912748018</v>
      </c>
      <c r="H26" s="1780"/>
      <c r="I26" s="1781"/>
    </row>
    <row r="27" spans="1:9" s="374" customFormat="1" ht="15" customHeight="1">
      <c r="A27" s="303" t="s">
        <v>667</v>
      </c>
      <c r="B27" s="563">
        <v>1758392</v>
      </c>
      <c r="C27" s="563">
        <f>B27</f>
        <v>1758392</v>
      </c>
      <c r="D27" s="1756">
        <v>570021.67</v>
      </c>
      <c r="E27" s="1757"/>
      <c r="F27" s="1758"/>
      <c r="G27" s="1779">
        <f t="shared" si="0"/>
        <v>32.417212430447826</v>
      </c>
      <c r="H27" s="1780"/>
      <c r="I27" s="1781"/>
    </row>
    <row r="28" spans="1:9" s="374" customFormat="1" ht="15" customHeight="1">
      <c r="A28" s="303" t="s">
        <v>668</v>
      </c>
      <c r="B28" s="563">
        <v>19974553</v>
      </c>
      <c r="C28" s="563">
        <f>B28</f>
        <v>19974553</v>
      </c>
      <c r="D28" s="1756">
        <v>5585115.43</v>
      </c>
      <c r="E28" s="1757"/>
      <c r="F28" s="1758"/>
      <c r="G28" s="1779">
        <f t="shared" si="0"/>
        <v>27.961153523685862</v>
      </c>
      <c r="H28" s="1780"/>
      <c r="I28" s="1781"/>
    </row>
    <row r="29" spans="1:9" s="374" customFormat="1" ht="15" customHeight="1">
      <c r="A29" s="303" t="s">
        <v>674</v>
      </c>
      <c r="B29" s="563">
        <v>3062408</v>
      </c>
      <c r="C29" s="563">
        <f>B29</f>
        <v>3062408</v>
      </c>
      <c r="D29" s="1756">
        <v>1021194.7</v>
      </c>
      <c r="E29" s="1757"/>
      <c r="F29" s="1758"/>
      <c r="G29" s="1779">
        <f t="shared" si="0"/>
        <v>33.34613480633541</v>
      </c>
      <c r="H29" s="1780"/>
      <c r="I29" s="1781"/>
    </row>
    <row r="30" spans="1:9" s="374" customFormat="1" ht="15" customHeight="1">
      <c r="A30" s="303" t="s">
        <v>669</v>
      </c>
      <c r="B30" s="563"/>
      <c r="C30" s="563"/>
      <c r="D30" s="1756">
        <v>42131.25</v>
      </c>
      <c r="E30" s="1757"/>
      <c r="F30" s="1758"/>
      <c r="G30" s="1779"/>
      <c r="H30" s="1780"/>
      <c r="I30" s="1781"/>
    </row>
    <row r="31" spans="1:9" s="593" customFormat="1" ht="15" customHeight="1">
      <c r="A31" s="491" t="s">
        <v>524</v>
      </c>
      <c r="B31" s="564">
        <f>B32+B33+B34+B35-B36</f>
        <v>43270249</v>
      </c>
      <c r="C31" s="564">
        <f>C32+C33+C34+C35-C36</f>
        <v>43270249</v>
      </c>
      <c r="D31" s="1782">
        <f>D32+D33+D34+D35-D36</f>
        <v>17986458.32</v>
      </c>
      <c r="E31" s="1783"/>
      <c r="F31" s="1784"/>
      <c r="G31" s="1779">
        <f t="shared" si="0"/>
        <v>41.567725482698286</v>
      </c>
      <c r="H31" s="1780"/>
      <c r="I31" s="1781"/>
    </row>
    <row r="32" spans="1:9" s="374" customFormat="1" ht="15" customHeight="1">
      <c r="A32" s="303" t="s">
        <v>670</v>
      </c>
      <c r="B32" s="563">
        <v>43270249</v>
      </c>
      <c r="C32" s="563">
        <f>B32</f>
        <v>43270249</v>
      </c>
      <c r="D32" s="1756">
        <v>17990867.61</v>
      </c>
      <c r="E32" s="1757"/>
      <c r="F32" s="1758"/>
      <c r="G32" s="1779">
        <f t="shared" si="0"/>
        <v>41.577915602010975</v>
      </c>
      <c r="H32" s="1780"/>
      <c r="I32" s="1781"/>
    </row>
    <row r="33" spans="1:9" s="374" customFormat="1" ht="15" customHeight="1">
      <c r="A33" s="303" t="s">
        <v>671</v>
      </c>
      <c r="B33" s="563"/>
      <c r="C33" s="563">
        <f>B33</f>
        <v>0</v>
      </c>
      <c r="D33" s="1756"/>
      <c r="E33" s="1757"/>
      <c r="F33" s="1758"/>
      <c r="G33" s="1779"/>
      <c r="H33" s="1780"/>
      <c r="I33" s="1781"/>
    </row>
    <row r="34" spans="1:9" s="374" customFormat="1" ht="15" customHeight="1">
      <c r="A34" s="303" t="s">
        <v>672</v>
      </c>
      <c r="B34" s="563"/>
      <c r="C34" s="563">
        <f>B34</f>
        <v>0</v>
      </c>
      <c r="D34" s="1756"/>
      <c r="E34" s="1757"/>
      <c r="F34" s="1758"/>
      <c r="G34" s="1779"/>
      <c r="H34" s="1780"/>
      <c r="I34" s="1781"/>
    </row>
    <row r="35" spans="1:9" s="374" customFormat="1" ht="15" customHeight="1">
      <c r="A35" s="303" t="s">
        <v>673</v>
      </c>
      <c r="B35" s="563"/>
      <c r="C35" s="563">
        <f>B35</f>
        <v>0</v>
      </c>
      <c r="D35" s="1756"/>
      <c r="E35" s="1757"/>
      <c r="F35" s="1758"/>
      <c r="G35" s="1779"/>
      <c r="H35" s="1780"/>
      <c r="I35" s="1781"/>
    </row>
    <row r="36" spans="1:9" s="374" customFormat="1" ht="15" customHeight="1">
      <c r="A36" s="303" t="s">
        <v>676</v>
      </c>
      <c r="B36" s="563"/>
      <c r="C36" s="563"/>
      <c r="D36" s="1756">
        <v>4409.29</v>
      </c>
      <c r="E36" s="1757"/>
      <c r="F36" s="1758"/>
      <c r="G36" s="1779"/>
      <c r="H36" s="1780"/>
      <c r="I36" s="1781"/>
    </row>
    <row r="37" spans="1:9" s="374" customFormat="1" ht="15" customHeight="1">
      <c r="A37" s="491" t="s">
        <v>525</v>
      </c>
      <c r="B37" s="564">
        <f>B38+B39+B40+B41-B42</f>
        <v>0</v>
      </c>
      <c r="C37" s="564">
        <f>C38+C39+C40+C41-C42</f>
        <v>0</v>
      </c>
      <c r="D37" s="1782">
        <f>D38+D39+D40+D41-D42</f>
        <v>0</v>
      </c>
      <c r="E37" s="1783"/>
      <c r="F37" s="1784"/>
      <c r="G37" s="1779"/>
      <c r="H37" s="1780"/>
      <c r="I37" s="1781"/>
    </row>
    <row r="38" spans="1:9" s="374" customFormat="1" ht="15" customHeight="1">
      <c r="A38" s="303" t="s">
        <v>677</v>
      </c>
      <c r="B38" s="563"/>
      <c r="C38" s="563">
        <f>B38</f>
        <v>0</v>
      </c>
      <c r="D38" s="1756"/>
      <c r="E38" s="1757"/>
      <c r="F38" s="1758"/>
      <c r="G38" s="1779"/>
      <c r="H38" s="1780"/>
      <c r="I38" s="1781"/>
    </row>
    <row r="39" spans="1:9" s="374" customFormat="1" ht="15" customHeight="1">
      <c r="A39" s="303" t="s">
        <v>678</v>
      </c>
      <c r="B39" s="563"/>
      <c r="C39" s="563"/>
      <c r="D39" s="1756"/>
      <c r="E39" s="1757"/>
      <c r="F39" s="1758"/>
      <c r="G39" s="1779"/>
      <c r="H39" s="1780"/>
      <c r="I39" s="1781"/>
    </row>
    <row r="40" spans="1:9" s="374" customFormat="1" ht="15" customHeight="1">
      <c r="A40" s="303" t="s">
        <v>679</v>
      </c>
      <c r="B40" s="563"/>
      <c r="C40" s="563"/>
      <c r="D40" s="1756"/>
      <c r="E40" s="1757"/>
      <c r="F40" s="1758"/>
      <c r="G40" s="1779"/>
      <c r="H40" s="1780"/>
      <c r="I40" s="1781"/>
    </row>
    <row r="41" spans="1:9" s="374" customFormat="1" ht="15" customHeight="1">
      <c r="A41" s="303" t="s">
        <v>680</v>
      </c>
      <c r="B41" s="563"/>
      <c r="C41" s="563"/>
      <c r="D41" s="1756"/>
      <c r="E41" s="1757"/>
      <c r="F41" s="1758"/>
      <c r="G41" s="1779"/>
      <c r="H41" s="1780"/>
      <c r="I41" s="1781"/>
    </row>
    <row r="42" spans="1:9" s="374" customFormat="1" ht="15" customHeight="1">
      <c r="A42" s="303" t="s">
        <v>681</v>
      </c>
      <c r="B42" s="563"/>
      <c r="C42" s="563"/>
      <c r="D42" s="1756"/>
      <c r="E42" s="1757"/>
      <c r="F42" s="1758"/>
      <c r="G42" s="1779"/>
      <c r="H42" s="1780"/>
      <c r="I42" s="1781"/>
    </row>
    <row r="43" spans="1:9" s="374" customFormat="1" ht="15" customHeight="1">
      <c r="A43" s="302" t="s">
        <v>528</v>
      </c>
      <c r="B43" s="564">
        <f>B44+SUM(B47:B52)</f>
        <v>1108751879</v>
      </c>
      <c r="C43" s="564">
        <f>C44+SUM(C47:C52)</f>
        <v>1108751879</v>
      </c>
      <c r="D43" s="1782">
        <f>D44+SUM(D47:D52)</f>
        <v>326898660.78</v>
      </c>
      <c r="E43" s="1783"/>
      <c r="F43" s="1784"/>
      <c r="G43" s="1779">
        <f t="shared" si="0"/>
        <v>29.483482009954727</v>
      </c>
      <c r="H43" s="1780"/>
      <c r="I43" s="1781"/>
    </row>
    <row r="44" spans="1:9" s="374" customFormat="1" ht="16.5" customHeight="1">
      <c r="A44" s="303" t="s">
        <v>404</v>
      </c>
      <c r="B44" s="563">
        <f>B45+B46</f>
        <v>559790291</v>
      </c>
      <c r="C44" s="563">
        <f>C45+C46</f>
        <v>559790291</v>
      </c>
      <c r="D44" s="1773">
        <f>D45+D46</f>
        <v>153108383.26</v>
      </c>
      <c r="E44" s="1774"/>
      <c r="F44" s="1775"/>
      <c r="G44" s="1779">
        <f t="shared" si="0"/>
        <v>27.351025146665144</v>
      </c>
      <c r="H44" s="1780"/>
      <c r="I44" s="1781"/>
    </row>
    <row r="45" spans="1:9" s="610" customFormat="1" ht="16.5" customHeight="1">
      <c r="A45" s="303" t="s">
        <v>682</v>
      </c>
      <c r="B45" s="563">
        <v>559790291</v>
      </c>
      <c r="C45" s="563">
        <f>B45</f>
        <v>559790291</v>
      </c>
      <c r="D45" s="1756">
        <v>153108383.26</v>
      </c>
      <c r="E45" s="1757"/>
      <c r="F45" s="1758"/>
      <c r="G45" s="1779">
        <f t="shared" si="0"/>
        <v>27.351025146665144</v>
      </c>
      <c r="H45" s="1780"/>
      <c r="I45" s="1781"/>
    </row>
    <row r="46" spans="1:9" s="610" customFormat="1" ht="16.5" customHeight="1">
      <c r="A46" s="303" t="s">
        <v>683</v>
      </c>
      <c r="B46" s="563">
        <v>0</v>
      </c>
      <c r="C46" s="563">
        <v>0</v>
      </c>
      <c r="D46" s="1756"/>
      <c r="E46" s="1757"/>
      <c r="F46" s="1758"/>
      <c r="G46" s="1779"/>
      <c r="H46" s="1780"/>
      <c r="I46" s="1781"/>
    </row>
    <row r="47" spans="1:9" s="374" customFormat="1" ht="17.25" customHeight="1">
      <c r="A47" s="303" t="s">
        <v>405</v>
      </c>
      <c r="B47" s="563">
        <v>452602097</v>
      </c>
      <c r="C47" s="563">
        <f aca="true" t="shared" si="1" ref="C47:C52">B47</f>
        <v>452602097</v>
      </c>
      <c r="D47" s="1756">
        <v>124432920.79</v>
      </c>
      <c r="E47" s="1757"/>
      <c r="F47" s="1758"/>
      <c r="G47" s="1779">
        <f t="shared" si="0"/>
        <v>27.492784857777625</v>
      </c>
      <c r="H47" s="1780"/>
      <c r="I47" s="1781"/>
    </row>
    <row r="48" spans="1:9" s="374" customFormat="1" ht="16.5" customHeight="1">
      <c r="A48" s="303" t="s">
        <v>406</v>
      </c>
      <c r="B48" s="563">
        <v>3469208</v>
      </c>
      <c r="C48" s="563">
        <f t="shared" si="1"/>
        <v>3469208</v>
      </c>
      <c r="D48" s="1756">
        <v>904314.3</v>
      </c>
      <c r="E48" s="1757"/>
      <c r="F48" s="1758"/>
      <c r="G48" s="1779">
        <f t="shared" si="0"/>
        <v>26.066880394603036</v>
      </c>
      <c r="H48" s="1780"/>
      <c r="I48" s="1781"/>
    </row>
    <row r="49" spans="1:9" s="374" customFormat="1" ht="15.75" customHeight="1">
      <c r="A49" s="303" t="s">
        <v>407</v>
      </c>
      <c r="B49" s="563">
        <v>3654191</v>
      </c>
      <c r="C49" s="563">
        <f t="shared" si="1"/>
        <v>3654191</v>
      </c>
      <c r="D49" s="1756">
        <v>0</v>
      </c>
      <c r="E49" s="1757"/>
      <c r="F49" s="1758"/>
      <c r="G49" s="1779">
        <f t="shared" si="0"/>
        <v>0</v>
      </c>
      <c r="H49" s="1780"/>
      <c r="I49" s="1781"/>
    </row>
    <row r="50" spans="1:9" s="374" customFormat="1" ht="17.25" customHeight="1">
      <c r="A50" s="303" t="s">
        <v>408</v>
      </c>
      <c r="B50" s="563">
        <v>24850</v>
      </c>
      <c r="C50" s="563">
        <f t="shared" si="1"/>
        <v>24850</v>
      </c>
      <c r="D50" s="1756">
        <v>4171.46</v>
      </c>
      <c r="E50" s="1757"/>
      <c r="F50" s="1758"/>
      <c r="G50" s="1779">
        <f t="shared" si="0"/>
        <v>16.78655935613682</v>
      </c>
      <c r="H50" s="1780"/>
      <c r="I50" s="1781"/>
    </row>
    <row r="51" spans="1:9" s="374" customFormat="1" ht="15.75" customHeight="1">
      <c r="A51" s="303" t="s">
        <v>409</v>
      </c>
      <c r="B51" s="563">
        <v>88974010</v>
      </c>
      <c r="C51" s="563">
        <f t="shared" si="1"/>
        <v>88974010</v>
      </c>
      <c r="D51" s="1756">
        <v>47945736.53</v>
      </c>
      <c r="E51" s="1757"/>
      <c r="F51" s="1758"/>
      <c r="G51" s="1779">
        <f t="shared" si="0"/>
        <v>53.887350395918986</v>
      </c>
      <c r="H51" s="1780"/>
      <c r="I51" s="1781"/>
    </row>
    <row r="52" spans="1:9" s="374" customFormat="1" ht="16.5" customHeight="1">
      <c r="A52" s="303" t="s">
        <v>410</v>
      </c>
      <c r="B52" s="563">
        <v>237232</v>
      </c>
      <c r="C52" s="563">
        <f t="shared" si="1"/>
        <v>237232</v>
      </c>
      <c r="D52" s="1887">
        <v>503134.44</v>
      </c>
      <c r="E52" s="1888"/>
      <c r="F52" s="1889"/>
      <c r="G52" s="1779">
        <f t="shared" si="0"/>
        <v>212.08540163215756</v>
      </c>
      <c r="H52" s="1780"/>
      <c r="I52" s="1781"/>
    </row>
    <row r="53" spans="1:9" s="374" customFormat="1" ht="21" customHeight="1">
      <c r="A53" s="473" t="s">
        <v>411</v>
      </c>
      <c r="B53" s="603">
        <f>B11+B43</f>
        <v>1783840237</v>
      </c>
      <c r="C53" s="1187">
        <f>C11+C43</f>
        <v>1783840237</v>
      </c>
      <c r="D53" s="1890">
        <f>D11+D43</f>
        <v>505780955.03</v>
      </c>
      <c r="E53" s="1891"/>
      <c r="F53" s="1892"/>
      <c r="G53" s="1788">
        <f t="shared" si="0"/>
        <v>28.35348954122734</v>
      </c>
      <c r="H53" s="1789"/>
      <c r="I53" s="1790"/>
    </row>
    <row r="54" spans="2:9" ht="16.5" customHeight="1">
      <c r="B54" s="236"/>
      <c r="C54" s="236"/>
      <c r="D54" s="236"/>
      <c r="E54" s="236"/>
      <c r="F54" s="236"/>
      <c r="G54" s="1757"/>
      <c r="H54" s="1757"/>
      <c r="I54" s="1758"/>
    </row>
    <row r="55" spans="1:9" ht="17.25" customHeight="1">
      <c r="A55" s="1801" t="s">
        <v>412</v>
      </c>
      <c r="B55" s="1802" t="s">
        <v>400</v>
      </c>
      <c r="C55" s="1803" t="s">
        <v>316</v>
      </c>
      <c r="D55" s="1807" t="s">
        <v>216</v>
      </c>
      <c r="E55" s="1808"/>
      <c r="F55" s="1808"/>
      <c r="G55" s="1808"/>
      <c r="H55" s="1808"/>
      <c r="I55" s="1818"/>
    </row>
    <row r="56" spans="1:9" ht="14.25" customHeight="1">
      <c r="A56" s="1801"/>
      <c r="B56" s="1802"/>
      <c r="C56" s="1803"/>
      <c r="D56" s="1893" t="s">
        <v>862</v>
      </c>
      <c r="E56" s="1894"/>
      <c r="F56" s="1895"/>
      <c r="G56" s="1785" t="s">
        <v>99</v>
      </c>
      <c r="H56" s="1786"/>
      <c r="I56" s="1787"/>
    </row>
    <row r="57" spans="1:9" ht="12.75" customHeight="1">
      <c r="A57" s="1801"/>
      <c r="B57" s="381"/>
      <c r="C57" s="566" t="s">
        <v>105</v>
      </c>
      <c r="D57" s="1815"/>
      <c r="E57" s="1816"/>
      <c r="F57" s="1817"/>
      <c r="G57" s="1815" t="s">
        <v>873</v>
      </c>
      <c r="H57" s="1816"/>
      <c r="I57" s="1817"/>
    </row>
    <row r="58" spans="1:9" ht="18" customHeight="1">
      <c r="A58" s="323" t="s">
        <v>510</v>
      </c>
      <c r="B58" s="567"/>
      <c r="C58" s="567">
        <f>B58</f>
        <v>0</v>
      </c>
      <c r="D58" s="1916">
        <f>E58</f>
        <v>0</v>
      </c>
      <c r="E58" s="1870"/>
      <c r="F58" s="1871"/>
      <c r="G58" s="1798"/>
      <c r="H58" s="1799"/>
      <c r="I58" s="1800"/>
    </row>
    <row r="59" spans="1:9" s="121" customFormat="1" ht="15.75" customHeight="1">
      <c r="A59" s="302" t="s">
        <v>413</v>
      </c>
      <c r="B59" s="564">
        <f>B60+B61+B62+B63+B64+B65</f>
        <v>21756725</v>
      </c>
      <c r="C59" s="564">
        <f>C60+C61+C62+C63+C64+C65</f>
        <v>21756725</v>
      </c>
      <c r="D59" s="1782">
        <f>D60+D61+D62+D63+D64+D65</f>
        <v>6104186.54</v>
      </c>
      <c r="E59" s="1783"/>
      <c r="F59" s="1784"/>
      <c r="G59" s="1779">
        <f aca="true" t="shared" si="2" ref="G59:G71">(D59/C59)*100</f>
        <v>28.05655051484081</v>
      </c>
      <c r="H59" s="1780"/>
      <c r="I59" s="1781"/>
    </row>
    <row r="60" spans="1:9" s="121" customFormat="1" ht="15.75" customHeight="1">
      <c r="A60" s="304" t="s">
        <v>529</v>
      </c>
      <c r="B60" s="563">
        <v>4506204</v>
      </c>
      <c r="C60" s="563">
        <f>B60</f>
        <v>4506204</v>
      </c>
      <c r="D60" s="1756">
        <v>2055336.23</v>
      </c>
      <c r="E60" s="1757"/>
      <c r="F60" s="1758"/>
      <c r="G60" s="1779">
        <f t="shared" si="2"/>
        <v>45.611255726549444</v>
      </c>
      <c r="H60" s="1780"/>
      <c r="I60" s="1781"/>
    </row>
    <row r="61" spans="1:9" s="121" customFormat="1" ht="15.75" customHeight="1">
      <c r="A61" s="304" t="s">
        <v>863</v>
      </c>
      <c r="B61" s="563"/>
      <c r="C61" s="563"/>
      <c r="D61" s="1913"/>
      <c r="E61" s="1914"/>
      <c r="F61" s="1915"/>
      <c r="G61" s="1779"/>
      <c r="H61" s="1780"/>
      <c r="I61" s="1781"/>
    </row>
    <row r="62" spans="1:9" s="121" customFormat="1" ht="17.25" customHeight="1">
      <c r="A62" s="304" t="s">
        <v>923</v>
      </c>
      <c r="B62" s="563">
        <v>10733536</v>
      </c>
      <c r="C62" s="563">
        <f>B62</f>
        <v>10733536</v>
      </c>
      <c r="D62" s="1756">
        <v>3720122.4</v>
      </c>
      <c r="E62" s="1757"/>
      <c r="F62" s="1758"/>
      <c r="G62" s="1779">
        <f t="shared" si="2"/>
        <v>34.65887103746612</v>
      </c>
      <c r="H62" s="1780"/>
      <c r="I62" s="1781"/>
    </row>
    <row r="63" spans="1:9" s="121" customFormat="1" ht="17.25" customHeight="1">
      <c r="A63" s="304" t="s">
        <v>864</v>
      </c>
      <c r="B63" s="563">
        <v>800857</v>
      </c>
      <c r="C63" s="563">
        <f>B63</f>
        <v>800857</v>
      </c>
      <c r="D63" s="1756">
        <v>255227.91</v>
      </c>
      <c r="E63" s="1757"/>
      <c r="F63" s="1758"/>
      <c r="G63" s="1779">
        <f>(D63/C63)*100</f>
        <v>31.869348710194206</v>
      </c>
      <c r="H63" s="1780"/>
      <c r="I63" s="1781"/>
    </row>
    <row r="64" spans="1:9" s="121" customFormat="1" ht="17.25" customHeight="1">
      <c r="A64" s="304" t="s">
        <v>865</v>
      </c>
      <c r="B64" s="563">
        <v>5716128</v>
      </c>
      <c r="C64" s="563">
        <f>B64</f>
        <v>5716128</v>
      </c>
      <c r="D64" s="1756">
        <v>73500</v>
      </c>
      <c r="E64" s="1757"/>
      <c r="F64" s="1758"/>
      <c r="G64" s="1779">
        <f>(D64/C64)*100</f>
        <v>1.2858354466519994</v>
      </c>
      <c r="H64" s="1780"/>
      <c r="I64" s="1781"/>
    </row>
    <row r="65" spans="1:9" s="121" customFormat="1" ht="17.25" customHeight="1">
      <c r="A65" s="304" t="s">
        <v>866</v>
      </c>
      <c r="B65" s="563"/>
      <c r="C65" s="563"/>
      <c r="D65" s="1756"/>
      <c r="E65" s="1757"/>
      <c r="F65" s="1758"/>
      <c r="G65" s="1779"/>
      <c r="H65" s="1780"/>
      <c r="I65" s="1781"/>
    </row>
    <row r="66" spans="1:9" s="121" customFormat="1" ht="15.75" customHeight="1">
      <c r="A66" s="305" t="s">
        <v>414</v>
      </c>
      <c r="B66" s="564">
        <f>B67+B68</f>
        <v>592885</v>
      </c>
      <c r="C66" s="564">
        <f>C67+C68</f>
        <v>592885</v>
      </c>
      <c r="D66" s="1782">
        <f>D67+D68</f>
        <v>0</v>
      </c>
      <c r="E66" s="1783"/>
      <c r="F66" s="1784"/>
      <c r="G66" s="1779">
        <f t="shared" si="2"/>
        <v>0</v>
      </c>
      <c r="H66" s="1780"/>
      <c r="I66" s="1781"/>
    </row>
    <row r="67" spans="1:9" s="121" customFormat="1" ht="15.75" customHeight="1">
      <c r="A67" s="321" t="s">
        <v>530</v>
      </c>
      <c r="B67" s="563">
        <v>592885</v>
      </c>
      <c r="C67" s="563">
        <f>B67</f>
        <v>592885</v>
      </c>
      <c r="D67" s="1756">
        <v>0</v>
      </c>
      <c r="E67" s="1757"/>
      <c r="F67" s="1758"/>
      <c r="G67" s="1779">
        <f t="shared" si="2"/>
        <v>0</v>
      </c>
      <c r="H67" s="1780"/>
      <c r="I67" s="1781"/>
    </row>
    <row r="68" spans="1:9" s="121" customFormat="1" ht="16.5" customHeight="1">
      <c r="A68" s="321" t="s">
        <v>531</v>
      </c>
      <c r="B68" s="563"/>
      <c r="C68" s="625"/>
      <c r="D68" s="1756"/>
      <c r="E68" s="1757"/>
      <c r="F68" s="1758"/>
      <c r="G68" s="1779"/>
      <c r="H68" s="1780"/>
      <c r="I68" s="1781"/>
    </row>
    <row r="69" spans="1:9" s="592" customFormat="1" ht="17.25" customHeight="1">
      <c r="A69" s="305" t="s">
        <v>415</v>
      </c>
      <c r="B69" s="564">
        <v>3000000</v>
      </c>
      <c r="C69" s="565">
        <f>B69</f>
        <v>3000000</v>
      </c>
      <c r="D69" s="1756">
        <v>0</v>
      </c>
      <c r="E69" s="1757"/>
      <c r="F69" s="1758"/>
      <c r="G69" s="1779">
        <f t="shared" si="2"/>
        <v>0</v>
      </c>
      <c r="H69" s="1780"/>
      <c r="I69" s="1781"/>
    </row>
    <row r="70" spans="1:9" s="592" customFormat="1" ht="18" customHeight="1">
      <c r="A70" s="305" t="s">
        <v>867</v>
      </c>
      <c r="B70" s="564"/>
      <c r="C70" s="565">
        <v>0</v>
      </c>
      <c r="D70" s="1907">
        <v>0</v>
      </c>
      <c r="E70" s="1908"/>
      <c r="F70" s="1909"/>
      <c r="G70" s="1779"/>
      <c r="H70" s="1780"/>
      <c r="I70" s="1781"/>
    </row>
    <row r="71" spans="1:9" s="121" customFormat="1" ht="20.25" customHeight="1">
      <c r="A71" s="306" t="s">
        <v>511</v>
      </c>
      <c r="B71" s="562">
        <f>B58+B59+B66+B69+B70</f>
        <v>25349610</v>
      </c>
      <c r="C71" s="562">
        <f>C58+C59+C66+C69+C70</f>
        <v>25349610</v>
      </c>
      <c r="D71" s="1910">
        <f>D58+D59+D66+D69+D70</f>
        <v>6104186.54</v>
      </c>
      <c r="E71" s="1911"/>
      <c r="F71" s="1912"/>
      <c r="G71" s="1788">
        <f t="shared" si="2"/>
        <v>24.08000178306491</v>
      </c>
      <c r="H71" s="1789"/>
      <c r="I71" s="1790"/>
    </row>
    <row r="72" spans="2:9" ht="16.5" customHeight="1">
      <c r="B72" s="1251"/>
      <c r="C72" s="236"/>
      <c r="D72" s="236"/>
      <c r="E72" s="236"/>
      <c r="F72" s="236"/>
      <c r="G72" s="1925"/>
      <c r="H72" s="1925"/>
      <c r="I72" s="1926"/>
    </row>
    <row r="73" spans="1:9" ht="16.5" customHeight="1">
      <c r="A73" s="1801" t="s">
        <v>416</v>
      </c>
      <c r="B73" s="1802" t="s">
        <v>400</v>
      </c>
      <c r="C73" s="1803" t="s">
        <v>316</v>
      </c>
      <c r="D73" s="1807" t="s">
        <v>216</v>
      </c>
      <c r="E73" s="1808"/>
      <c r="F73" s="1808"/>
      <c r="G73" s="1808"/>
      <c r="H73" s="1808"/>
      <c r="I73" s="1818"/>
    </row>
    <row r="74" spans="1:9" ht="15" customHeight="1">
      <c r="A74" s="1801"/>
      <c r="B74" s="1802"/>
      <c r="C74" s="1802"/>
      <c r="D74" s="1893" t="s">
        <v>936</v>
      </c>
      <c r="E74" s="1894"/>
      <c r="F74" s="1895"/>
      <c r="G74" s="1785" t="s">
        <v>99</v>
      </c>
      <c r="H74" s="1786"/>
      <c r="I74" s="1787"/>
    </row>
    <row r="75" spans="1:9" ht="13.5" customHeight="1">
      <c r="A75" s="1801"/>
      <c r="B75" s="381"/>
      <c r="C75" s="472" t="s">
        <v>105</v>
      </c>
      <c r="D75" s="1815"/>
      <c r="E75" s="1816"/>
      <c r="F75" s="1817"/>
      <c r="G75" s="1893" t="s">
        <v>873</v>
      </c>
      <c r="H75" s="1894"/>
      <c r="I75" s="1895"/>
    </row>
    <row r="76" spans="1:9" s="374" customFormat="1" ht="24" customHeight="1">
      <c r="A76" s="302" t="s">
        <v>417</v>
      </c>
      <c r="B76" s="564">
        <f>SUM(B77:B82)</f>
        <v>221702929.4</v>
      </c>
      <c r="C76" s="564">
        <f>SUM(C77:C82)</f>
        <v>221702929.4</v>
      </c>
      <c r="D76" s="1776">
        <f>SUM(D77:D82)</f>
        <v>65279105.068</v>
      </c>
      <c r="E76" s="1777"/>
      <c r="F76" s="1778"/>
      <c r="G76" s="1798">
        <f>D76/C76*100</f>
        <v>29.444403483826946</v>
      </c>
      <c r="H76" s="1799"/>
      <c r="I76" s="1800"/>
    </row>
    <row r="77" spans="1:11" s="695" customFormat="1" ht="23.25" customHeight="1">
      <c r="A77" s="303" t="s">
        <v>684</v>
      </c>
      <c r="B77" s="563">
        <f>(B44*20%)</f>
        <v>111958058.2</v>
      </c>
      <c r="C77" s="563">
        <f aca="true" t="shared" si="3" ref="C77:C82">B77</f>
        <v>111958058.2</v>
      </c>
      <c r="D77" s="1773">
        <f>(D44*20%)-0.12</f>
        <v>30621676.531999998</v>
      </c>
      <c r="E77" s="1774"/>
      <c r="F77" s="1775"/>
      <c r="G77" s="1779">
        <f aca="true" t="shared" si="4" ref="G77:G87">D77/C77*100</f>
        <v>27.351025039482145</v>
      </c>
      <c r="H77" s="1780"/>
      <c r="I77" s="1781"/>
      <c r="K77" s="1379"/>
    </row>
    <row r="78" spans="1:9" s="695" customFormat="1" ht="18.75" customHeight="1">
      <c r="A78" s="303" t="s">
        <v>685</v>
      </c>
      <c r="B78" s="563">
        <f>(B47*20%)</f>
        <v>90520419.4</v>
      </c>
      <c r="C78" s="563">
        <f t="shared" si="3"/>
        <v>90520419.4</v>
      </c>
      <c r="D78" s="1773">
        <f>(D47*20%)-0.12</f>
        <v>24886584.038000003</v>
      </c>
      <c r="E78" s="1774"/>
      <c r="F78" s="1775"/>
      <c r="G78" s="1779">
        <f t="shared" si="4"/>
        <v>27.49278472521085</v>
      </c>
      <c r="H78" s="1780"/>
      <c r="I78" s="1781"/>
    </row>
    <row r="79" spans="1:9" s="695" customFormat="1" ht="15.75" customHeight="1">
      <c r="A79" s="303" t="s">
        <v>686</v>
      </c>
      <c r="B79" s="563">
        <f>(B48*20%)</f>
        <v>693841.6000000001</v>
      </c>
      <c r="C79" s="563">
        <f t="shared" si="3"/>
        <v>693841.6000000001</v>
      </c>
      <c r="D79" s="1773">
        <f>(D48*20%)</f>
        <v>180862.86000000002</v>
      </c>
      <c r="E79" s="1774"/>
      <c r="F79" s="1775"/>
      <c r="G79" s="1779">
        <f t="shared" si="4"/>
        <v>26.066880394603032</v>
      </c>
      <c r="H79" s="1780"/>
      <c r="I79" s="1781"/>
    </row>
    <row r="80" spans="1:9" s="695" customFormat="1" ht="21" customHeight="1">
      <c r="A80" s="303" t="s">
        <v>687</v>
      </c>
      <c r="B80" s="563">
        <f>(B49*20%)</f>
        <v>730838.2000000001</v>
      </c>
      <c r="C80" s="563">
        <f t="shared" si="3"/>
        <v>730838.2000000001</v>
      </c>
      <c r="D80" s="1773">
        <f>(D49*20%)</f>
        <v>0</v>
      </c>
      <c r="E80" s="1774"/>
      <c r="F80" s="1775"/>
      <c r="G80" s="1779">
        <f t="shared" si="4"/>
        <v>0</v>
      </c>
      <c r="H80" s="1780"/>
      <c r="I80" s="1781"/>
    </row>
    <row r="81" spans="1:9" s="695" customFormat="1" ht="17.25" customHeight="1">
      <c r="A81" s="303" t="s">
        <v>688</v>
      </c>
      <c r="B81" s="563">
        <f>(B50*20%)</f>
        <v>4970</v>
      </c>
      <c r="C81" s="563">
        <f t="shared" si="3"/>
        <v>4970</v>
      </c>
      <c r="D81" s="1773">
        <f>(D50*20%)-0.02</f>
        <v>834.272</v>
      </c>
      <c r="E81" s="1774"/>
      <c r="F81" s="1775"/>
      <c r="G81" s="1779">
        <f t="shared" si="4"/>
        <v>16.7861569416499</v>
      </c>
      <c r="H81" s="1780"/>
      <c r="I81" s="1781"/>
    </row>
    <row r="82" spans="1:9" s="695" customFormat="1" ht="19.5" customHeight="1">
      <c r="A82" s="303" t="s">
        <v>689</v>
      </c>
      <c r="B82" s="563">
        <f>(B51*20%)</f>
        <v>17794802</v>
      </c>
      <c r="C82" s="563">
        <f t="shared" si="3"/>
        <v>17794802</v>
      </c>
      <c r="D82" s="1773">
        <f>(D51*20%)+0.06</f>
        <v>9589147.366</v>
      </c>
      <c r="E82" s="1774"/>
      <c r="F82" s="1775"/>
      <c r="G82" s="1779">
        <f t="shared" si="4"/>
        <v>53.887350733096106</v>
      </c>
      <c r="H82" s="1780"/>
      <c r="I82" s="1781"/>
    </row>
    <row r="83" spans="1:9" s="374" customFormat="1" ht="18" customHeight="1">
      <c r="A83" s="302" t="s">
        <v>418</v>
      </c>
      <c r="B83" s="564">
        <f>B84+B85+B86</f>
        <v>277623316</v>
      </c>
      <c r="C83" s="564">
        <f>C84+C85+C86</f>
        <v>277623316</v>
      </c>
      <c r="D83" s="1782">
        <f>D84+D85+D86</f>
        <v>141102496.11999997</v>
      </c>
      <c r="E83" s="1783"/>
      <c r="F83" s="1784"/>
      <c r="G83" s="1779">
        <f t="shared" si="4"/>
        <v>50.82516056396358</v>
      </c>
      <c r="H83" s="1780"/>
      <c r="I83" s="1781"/>
    </row>
    <row r="84" spans="1:9" s="374" customFormat="1" ht="17.25" customHeight="1">
      <c r="A84" s="303" t="s">
        <v>419</v>
      </c>
      <c r="B84" s="563">
        <v>143605365</v>
      </c>
      <c r="C84" s="563">
        <f>B84</f>
        <v>143605365</v>
      </c>
      <c r="D84" s="1756">
        <v>52282677.05</v>
      </c>
      <c r="E84" s="1757"/>
      <c r="F84" s="1758"/>
      <c r="G84" s="1779">
        <f t="shared" si="4"/>
        <v>36.407189278757095</v>
      </c>
      <c r="H84" s="1780"/>
      <c r="I84" s="1781"/>
    </row>
    <row r="85" spans="1:9" s="374" customFormat="1" ht="17.25" customHeight="1">
      <c r="A85" s="303" t="s">
        <v>420</v>
      </c>
      <c r="B85" s="563">
        <v>131785388</v>
      </c>
      <c r="C85" s="563">
        <f>B85</f>
        <v>131785388</v>
      </c>
      <c r="D85" s="1756">
        <v>87650985.28</v>
      </c>
      <c r="E85" s="1757"/>
      <c r="F85" s="1758"/>
      <c r="G85" s="1779">
        <f t="shared" si="4"/>
        <v>66.51039740460453</v>
      </c>
      <c r="H85" s="1780"/>
      <c r="I85" s="1781"/>
    </row>
    <row r="86" spans="1:9" s="374" customFormat="1" ht="21.75" customHeight="1">
      <c r="A86" s="303" t="s">
        <v>421</v>
      </c>
      <c r="B86" s="563">
        <v>2232563</v>
      </c>
      <c r="C86" s="563">
        <f>B86</f>
        <v>2232563</v>
      </c>
      <c r="D86" s="1756">
        <v>1168833.79</v>
      </c>
      <c r="E86" s="1757"/>
      <c r="F86" s="1758"/>
      <c r="G86" s="1768">
        <f t="shared" si="4"/>
        <v>52.353899531614566</v>
      </c>
      <c r="H86" s="1769"/>
      <c r="I86" s="1770"/>
    </row>
    <row r="87" spans="1:9" s="121" customFormat="1" ht="23.25" customHeight="1">
      <c r="A87" s="306" t="s">
        <v>422</v>
      </c>
      <c r="B87" s="562">
        <f>B84-B76</f>
        <v>-78097564.4</v>
      </c>
      <c r="C87" s="1178">
        <f>C84-C76</f>
        <v>-78097564.4</v>
      </c>
      <c r="D87" s="1759">
        <f>D84-D76</f>
        <v>-12996428.018000007</v>
      </c>
      <c r="E87" s="1760"/>
      <c r="F87" s="1761"/>
      <c r="G87" s="1768">
        <f t="shared" si="4"/>
        <v>16.641271873006076</v>
      </c>
      <c r="H87" s="1769"/>
      <c r="I87" s="1770"/>
    </row>
    <row r="88" spans="1:9" s="319" customFormat="1" ht="16.5" customHeight="1">
      <c r="A88" s="1771" t="s">
        <v>535</v>
      </c>
      <c r="B88" s="1771"/>
      <c r="C88" s="1771"/>
      <c r="D88" s="1771"/>
      <c r="E88" s="490"/>
      <c r="F88" s="490"/>
      <c r="G88" s="490"/>
      <c r="H88" s="560"/>
      <c r="I88" s="1252"/>
    </row>
    <row r="89" spans="1:9" s="319" customFormat="1" ht="16.5" customHeight="1">
      <c r="A89" s="1771" t="s">
        <v>534</v>
      </c>
      <c r="B89" s="1771"/>
      <c r="C89" s="1771"/>
      <c r="D89" s="1771"/>
      <c r="E89" s="490"/>
      <c r="F89" s="490"/>
      <c r="G89" s="490"/>
      <c r="H89" s="560"/>
      <c r="I89" s="1252"/>
    </row>
    <row r="90" spans="1:9" s="319" customFormat="1" ht="16.5" customHeight="1">
      <c r="A90" s="1828" t="s">
        <v>902</v>
      </c>
      <c r="B90" s="1828"/>
      <c r="C90" s="1828"/>
      <c r="D90" s="1828"/>
      <c r="E90" s="602" t="str">
        <f>'Anexo 1 _ BAL ORC'!H3</f>
        <v>Publicação: Diário Oficial do Município nº 96</v>
      </c>
      <c r="F90" s="490"/>
      <c r="G90" s="490"/>
      <c r="H90" s="560"/>
      <c r="I90" s="1252"/>
    </row>
    <row r="91" spans="1:9" s="319" customFormat="1" ht="16.5" customHeight="1">
      <c r="A91" s="1771" t="s">
        <v>900</v>
      </c>
      <c r="B91" s="1771"/>
      <c r="C91" s="1771"/>
      <c r="D91" s="1771"/>
      <c r="E91" s="602" t="str">
        <f>F4</f>
        <v>Data: 22/05/2015</v>
      </c>
      <c r="F91" s="490"/>
      <c r="G91" s="490"/>
      <c r="H91" s="560"/>
      <c r="I91" s="1252"/>
    </row>
    <row r="92" spans="1:9" s="319" customFormat="1" ht="20.25" customHeight="1">
      <c r="A92" s="1772" t="str">
        <f>A5</f>
        <v>Referência: JANEIRO-ABRIL/2015; BIMESTRE: MARÇO-ABRIL/2015</v>
      </c>
      <c r="B92" s="1772"/>
      <c r="C92" s="490"/>
      <c r="D92" s="490"/>
      <c r="E92" s="490"/>
      <c r="F92" s="490"/>
      <c r="G92" s="490"/>
      <c r="H92" s="560"/>
      <c r="I92" s="1252"/>
    </row>
    <row r="93" spans="1:9" s="319" customFormat="1" ht="22.5" customHeight="1">
      <c r="A93" s="471" t="s">
        <v>656</v>
      </c>
      <c r="B93" s="606"/>
      <c r="C93" s="606"/>
      <c r="D93" s="607"/>
      <c r="E93" s="320"/>
      <c r="F93" s="320"/>
      <c r="G93" s="560"/>
      <c r="H93" s="1254" t="s">
        <v>537</v>
      </c>
      <c r="I93" s="1238" t="s">
        <v>537</v>
      </c>
    </row>
    <row r="94" spans="1:9" s="121" customFormat="1" ht="23.25" customHeight="1">
      <c r="A94" s="905" t="s">
        <v>423</v>
      </c>
      <c r="B94" s="467"/>
      <c r="C94" s="467"/>
      <c r="D94" s="1236"/>
      <c r="E94" s="1765"/>
      <c r="F94" s="1766"/>
      <c r="G94" s="1766"/>
      <c r="H94" s="1766"/>
      <c r="I94" s="1767"/>
    </row>
    <row r="95" spans="1:9" s="121" customFormat="1" ht="23.25" customHeight="1">
      <c r="A95" s="492" t="s">
        <v>552</v>
      </c>
      <c r="B95" s="488"/>
      <c r="C95" s="488"/>
      <c r="D95" s="488"/>
      <c r="E95" s="1762">
        <f>D87</f>
        <v>-12996428.018000007</v>
      </c>
      <c r="F95" s="1763"/>
      <c r="G95" s="1763"/>
      <c r="H95" s="1763"/>
      <c r="I95" s="1764"/>
    </row>
    <row r="96" spans="1:9" s="319" customFormat="1" ht="16.5" customHeight="1">
      <c r="A96" s="1237"/>
      <c r="B96" s="1237"/>
      <c r="C96" s="1237"/>
      <c r="D96" s="1237"/>
      <c r="E96" s="1237"/>
      <c r="F96" s="1237"/>
      <c r="G96" s="1237"/>
      <c r="H96" s="1237"/>
      <c r="I96" s="1182"/>
    </row>
    <row r="97" spans="1:9" s="121" customFormat="1" ht="13.5" customHeight="1">
      <c r="A97" s="1948" t="s">
        <v>424</v>
      </c>
      <c r="B97" s="1922" t="s">
        <v>870</v>
      </c>
      <c r="C97" s="1951" t="s">
        <v>426</v>
      </c>
      <c r="D97" s="1930" t="s">
        <v>646</v>
      </c>
      <c r="E97" s="1931"/>
      <c r="F97" s="1930" t="s">
        <v>257</v>
      </c>
      <c r="G97" s="1931"/>
      <c r="H97" s="1785" t="s">
        <v>924</v>
      </c>
      <c r="I97" s="1787"/>
    </row>
    <row r="98" spans="1:9" s="121" customFormat="1" ht="21.75" customHeight="1">
      <c r="A98" s="1948"/>
      <c r="B98" s="1923"/>
      <c r="C98" s="1951"/>
      <c r="D98" s="1932"/>
      <c r="E98" s="1933"/>
      <c r="F98" s="1932"/>
      <c r="G98" s="1933"/>
      <c r="H98" s="1893"/>
      <c r="I98" s="1895"/>
    </row>
    <row r="99" spans="1:9" s="121" customFormat="1" ht="23.25" customHeight="1">
      <c r="A99" s="1948"/>
      <c r="B99" s="1924"/>
      <c r="C99" s="574" t="s">
        <v>427</v>
      </c>
      <c r="D99" s="574" t="s">
        <v>868</v>
      </c>
      <c r="E99" s="1179" t="s">
        <v>869</v>
      </c>
      <c r="F99" s="1180" t="s">
        <v>871</v>
      </c>
      <c r="G99" s="1185" t="s">
        <v>872</v>
      </c>
      <c r="H99" s="1815"/>
      <c r="I99" s="1817"/>
    </row>
    <row r="100" spans="1:9" s="121" customFormat="1" ht="15" customHeight="1">
      <c r="A100" s="493" t="s">
        <v>428</v>
      </c>
      <c r="B100" s="730">
        <f>B101+B102</f>
        <v>222390753</v>
      </c>
      <c r="C100" s="730">
        <f>C101+C102</f>
        <v>222390753</v>
      </c>
      <c r="D100" s="730">
        <f>D101+D102</f>
        <v>79281582.24</v>
      </c>
      <c r="E100" s="1192">
        <f>D100/C100*100</f>
        <v>35.64967570391742</v>
      </c>
      <c r="F100" s="1183">
        <f>F101+F102</f>
        <v>79281582.24</v>
      </c>
      <c r="G100" s="1189">
        <f>F100/C100*100</f>
        <v>35.64967570391742</v>
      </c>
      <c r="H100" s="1918">
        <f>H101+H102</f>
        <v>0</v>
      </c>
      <c r="I100" s="1919"/>
    </row>
    <row r="101" spans="1:9" s="121" customFormat="1" ht="21" customHeight="1">
      <c r="A101" s="494" t="s">
        <v>429</v>
      </c>
      <c r="B101" s="575">
        <v>28175982</v>
      </c>
      <c r="C101" s="575">
        <v>28175982</v>
      </c>
      <c r="D101" s="559">
        <v>8227409.16</v>
      </c>
      <c r="E101" s="1192">
        <f aca="true" t="shared" si="5" ref="E101:E106">D101/C101*100</f>
        <v>29.200079557120674</v>
      </c>
      <c r="F101" s="1184">
        <v>8227409.16</v>
      </c>
      <c r="G101" s="1190">
        <f aca="true" t="shared" si="6" ref="G101:G106">F101/C101*100</f>
        <v>29.200079557120674</v>
      </c>
      <c r="H101" s="1917"/>
      <c r="I101" s="1758"/>
    </row>
    <row r="102" spans="1:9" s="121" customFormat="1" ht="17.25" customHeight="1">
      <c r="A102" s="494" t="s">
        <v>430</v>
      </c>
      <c r="B102" s="575">
        <v>194214771</v>
      </c>
      <c r="C102" s="575">
        <f>B102</f>
        <v>194214771</v>
      </c>
      <c r="D102" s="559">
        <v>71054173.08</v>
      </c>
      <c r="E102" s="1192">
        <f t="shared" si="5"/>
        <v>36.585359967291055</v>
      </c>
      <c r="F102" s="1184">
        <v>71054173.08</v>
      </c>
      <c r="G102" s="1190">
        <f t="shared" si="6"/>
        <v>36.585359967291055</v>
      </c>
      <c r="H102" s="1917"/>
      <c r="I102" s="1758"/>
    </row>
    <row r="103" spans="1:9" s="121" customFormat="1" ht="16.5" customHeight="1">
      <c r="A103" s="493" t="s">
        <v>431</v>
      </c>
      <c r="B103" s="730">
        <f>B104+B105</f>
        <v>33296164</v>
      </c>
      <c r="C103" s="730">
        <f>C104+C105</f>
        <v>33296164</v>
      </c>
      <c r="D103" s="730">
        <f>D104+D105</f>
        <v>1843500.15</v>
      </c>
      <c r="E103" s="1192">
        <f t="shared" si="5"/>
        <v>5.536674284761451</v>
      </c>
      <c r="F103" s="1183">
        <f>F104+F105</f>
        <v>1843500.15</v>
      </c>
      <c r="G103" s="1190">
        <f t="shared" si="6"/>
        <v>5.536674284761451</v>
      </c>
      <c r="H103" s="1964">
        <f>H104+H105</f>
        <v>0</v>
      </c>
      <c r="I103" s="1965"/>
    </row>
    <row r="104" spans="1:9" s="121" customFormat="1" ht="15" customHeight="1">
      <c r="A104" s="494" t="s">
        <v>432</v>
      </c>
      <c r="B104" s="575">
        <v>27296164</v>
      </c>
      <c r="C104" s="575">
        <v>27296164</v>
      </c>
      <c r="D104" s="559">
        <v>1843500.15</v>
      </c>
      <c r="E104" s="1192">
        <f t="shared" si="5"/>
        <v>6.753696783181695</v>
      </c>
      <c r="F104" s="1184">
        <v>1843500.15</v>
      </c>
      <c r="G104" s="1190">
        <f t="shared" si="6"/>
        <v>6.753696783181695</v>
      </c>
      <c r="H104" s="1917"/>
      <c r="I104" s="1758"/>
    </row>
    <row r="105" spans="1:9" s="121" customFormat="1" ht="17.25" customHeight="1">
      <c r="A105" s="494" t="s">
        <v>433</v>
      </c>
      <c r="B105" s="575">
        <v>6000000</v>
      </c>
      <c r="C105" s="575">
        <v>6000000</v>
      </c>
      <c r="D105" s="559"/>
      <c r="E105" s="1192">
        <f t="shared" si="5"/>
        <v>0</v>
      </c>
      <c r="F105" s="1184"/>
      <c r="G105" s="1191">
        <f t="shared" si="6"/>
        <v>0</v>
      </c>
      <c r="H105" s="1917"/>
      <c r="I105" s="1758"/>
    </row>
    <row r="106" spans="1:9" s="496" customFormat="1" ht="20.25" customHeight="1">
      <c r="A106" s="495" t="s">
        <v>556</v>
      </c>
      <c r="B106" s="576">
        <f>B100+B103</f>
        <v>255686917</v>
      </c>
      <c r="C106" s="576">
        <f>C100+C103</f>
        <v>255686917</v>
      </c>
      <c r="D106" s="1138">
        <f>D100+D103</f>
        <v>81125082.39</v>
      </c>
      <c r="E106" s="1193">
        <f t="shared" si="5"/>
        <v>31.728288385596205</v>
      </c>
      <c r="F106" s="1181">
        <f>F100+F103</f>
        <v>81125082.39</v>
      </c>
      <c r="G106" s="1194">
        <f t="shared" si="6"/>
        <v>31.728288385596205</v>
      </c>
      <c r="H106" s="1920">
        <f>H100+H103</f>
        <v>0</v>
      </c>
      <c r="I106" s="1921"/>
    </row>
    <row r="107" spans="1:9" ht="12.75">
      <c r="A107" s="544"/>
      <c r="B107" s="544"/>
      <c r="C107" s="544"/>
      <c r="D107" s="544"/>
      <c r="E107" s="544"/>
      <c r="F107" s="544"/>
      <c r="G107" s="544"/>
      <c r="H107" s="236"/>
      <c r="I107" s="1944"/>
    </row>
    <row r="108" spans="1:9" ht="11.25">
      <c r="A108" s="236"/>
      <c r="B108" s="236"/>
      <c r="C108" s="236"/>
      <c r="D108" s="236"/>
      <c r="E108" s="236"/>
      <c r="F108" s="236"/>
      <c r="G108" s="236"/>
      <c r="H108" s="1248"/>
      <c r="I108" s="1944"/>
    </row>
    <row r="109" spans="1:9" ht="19.5" customHeight="1">
      <c r="A109" s="1949" t="s">
        <v>926</v>
      </c>
      <c r="B109" s="1949"/>
      <c r="C109" s="1949"/>
      <c r="D109" s="1949"/>
      <c r="E109" s="1949"/>
      <c r="F109" s="1950"/>
      <c r="G109" s="1807" t="s">
        <v>270</v>
      </c>
      <c r="H109" s="1808"/>
      <c r="I109" s="1818"/>
    </row>
    <row r="110" spans="1:9" ht="20.25" customHeight="1">
      <c r="A110" s="1792" t="s">
        <v>434</v>
      </c>
      <c r="B110" s="1793"/>
      <c r="C110" s="1793"/>
      <c r="D110" s="1793"/>
      <c r="E110" s="1793"/>
      <c r="F110" s="1794"/>
      <c r="G110" s="1791"/>
      <c r="H110" s="1791"/>
      <c r="I110" s="1791"/>
    </row>
    <row r="111" spans="1:9" ht="20.25" customHeight="1">
      <c r="A111" s="1792" t="s">
        <v>874</v>
      </c>
      <c r="B111" s="1793"/>
      <c r="C111" s="1793"/>
      <c r="D111" s="1793"/>
      <c r="E111" s="1793"/>
      <c r="F111" s="1794"/>
      <c r="G111" s="1804"/>
      <c r="H111" s="1805"/>
      <c r="I111" s="1806"/>
    </row>
    <row r="112" spans="1:9" ht="20.25" customHeight="1">
      <c r="A112" s="1898" t="s">
        <v>875</v>
      </c>
      <c r="B112" s="1898"/>
      <c r="C112" s="1898"/>
      <c r="D112" s="1898"/>
      <c r="E112" s="1898"/>
      <c r="F112" s="1899"/>
      <c r="G112" s="1804"/>
      <c r="H112" s="1805"/>
      <c r="I112" s="1806"/>
    </row>
    <row r="113" spans="1:9" ht="18" customHeight="1">
      <c r="A113" s="1792" t="s">
        <v>435</v>
      </c>
      <c r="B113" s="1793"/>
      <c r="C113" s="1793"/>
      <c r="D113" s="1793"/>
      <c r="E113" s="1793"/>
      <c r="F113" s="1793"/>
      <c r="G113" s="1827"/>
      <c r="H113" s="1827"/>
      <c r="I113" s="1827"/>
    </row>
    <row r="114" spans="1:9" ht="18" customHeight="1">
      <c r="A114" s="1792" t="s">
        <v>876</v>
      </c>
      <c r="B114" s="1793"/>
      <c r="C114" s="1793"/>
      <c r="D114" s="1793"/>
      <c r="E114" s="1793"/>
      <c r="F114" s="1794"/>
      <c r="G114" s="1945"/>
      <c r="H114" s="1946"/>
      <c r="I114" s="1947"/>
    </row>
    <row r="115" spans="1:9" ht="18" customHeight="1">
      <c r="A115" s="1792" t="s">
        <v>877</v>
      </c>
      <c r="B115" s="1793"/>
      <c r="C115" s="1793"/>
      <c r="D115" s="1793"/>
      <c r="E115" s="1793"/>
      <c r="F115" s="1794"/>
      <c r="G115" s="1945"/>
      <c r="H115" s="1946"/>
      <c r="I115" s="1947"/>
    </row>
    <row r="116" spans="1:9" ht="18.75" customHeight="1">
      <c r="A116" s="1792" t="s">
        <v>436</v>
      </c>
      <c r="B116" s="1793"/>
      <c r="C116" s="1793"/>
      <c r="D116" s="1793"/>
      <c r="E116" s="1793"/>
      <c r="F116" s="1793"/>
      <c r="G116" s="1795">
        <f>G110+G113</f>
        <v>0</v>
      </c>
      <c r="H116" s="1796"/>
      <c r="I116" s="1797"/>
    </row>
    <row r="117" spans="1:9" ht="18.75" customHeight="1">
      <c r="A117" s="1824" t="s">
        <v>878</v>
      </c>
      <c r="B117" s="1825"/>
      <c r="C117" s="1825"/>
      <c r="D117" s="1825"/>
      <c r="E117" s="1825"/>
      <c r="F117" s="1825"/>
      <c r="G117" s="1825"/>
      <c r="H117" s="1825"/>
      <c r="I117" s="1826"/>
    </row>
    <row r="118" spans="1:9" ht="18.75" customHeight="1">
      <c r="A118" s="1792" t="s">
        <v>879</v>
      </c>
      <c r="B118" s="1793"/>
      <c r="C118" s="1793"/>
      <c r="D118" s="1793"/>
      <c r="E118" s="1793"/>
      <c r="F118" s="1794"/>
      <c r="G118" s="1795">
        <f>F106+H106-G116</f>
        <v>81125082.39</v>
      </c>
      <c r="H118" s="1796"/>
      <c r="I118" s="1797"/>
    </row>
    <row r="119" spans="1:9" ht="19.5" customHeight="1">
      <c r="A119" s="1792" t="s">
        <v>880</v>
      </c>
      <c r="B119" s="1793"/>
      <c r="C119" s="1793"/>
      <c r="D119" s="1793"/>
      <c r="E119" s="1793"/>
      <c r="F119" s="1794"/>
      <c r="G119" s="1829">
        <f>F100+H100-(G111+G114)/D83*100%</f>
        <v>79281582.24</v>
      </c>
      <c r="H119" s="1830"/>
      <c r="I119" s="1831"/>
    </row>
    <row r="120" spans="1:9" ht="19.5" customHeight="1">
      <c r="A120" s="1792" t="s">
        <v>881</v>
      </c>
      <c r="B120" s="1793"/>
      <c r="C120" s="1793"/>
      <c r="D120" s="1793"/>
      <c r="E120" s="1793"/>
      <c r="F120" s="1794"/>
      <c r="G120" s="1795">
        <f>F103+H103-(G112+G115)/D83*100%</f>
        <v>1843500.15</v>
      </c>
      <c r="H120" s="1796"/>
      <c r="I120" s="1797"/>
    </row>
    <row r="121" spans="1:9" ht="19.5" customHeight="1">
      <c r="A121" s="1792" t="s">
        <v>882</v>
      </c>
      <c r="B121" s="1793"/>
      <c r="C121" s="1793"/>
      <c r="D121" s="1793"/>
      <c r="E121" s="1793"/>
      <c r="F121" s="1794"/>
      <c r="G121" s="1834">
        <f>100-(G119+G120)%</f>
        <v>-811150.8239</v>
      </c>
      <c r="H121" s="1830"/>
      <c r="I121" s="1831"/>
    </row>
    <row r="122" spans="1:9" ht="19.5" customHeight="1">
      <c r="A122" s="1822" t="s">
        <v>437</v>
      </c>
      <c r="B122" s="1822"/>
      <c r="C122" s="1822"/>
      <c r="D122" s="1822"/>
      <c r="E122" s="1822"/>
      <c r="F122" s="1822"/>
      <c r="G122" s="1822"/>
      <c r="H122" s="1822"/>
      <c r="I122" s="1823"/>
    </row>
    <row r="123" spans="1:9" ht="20.25" customHeight="1">
      <c r="A123" s="1838" t="s">
        <v>927</v>
      </c>
      <c r="B123" s="1838"/>
      <c r="C123" s="1838"/>
      <c r="D123" s="1839"/>
      <c r="E123" s="1819"/>
      <c r="F123" s="1820"/>
      <c r="G123" s="1820"/>
      <c r="H123" s="1820"/>
      <c r="I123" s="1821"/>
    </row>
    <row r="124" spans="1:9" ht="20.25" customHeight="1">
      <c r="A124" s="1840" t="s">
        <v>883</v>
      </c>
      <c r="B124" s="1840"/>
      <c r="C124" s="1840"/>
      <c r="D124" s="1841"/>
      <c r="E124" s="1849"/>
      <c r="F124" s="1850"/>
      <c r="G124" s="1850"/>
      <c r="H124" s="1850"/>
      <c r="I124" s="1851"/>
    </row>
    <row r="125" spans="1:9" s="236" customFormat="1" ht="20.25" customHeight="1">
      <c r="A125" s="1852" t="s">
        <v>884</v>
      </c>
      <c r="B125" s="1852"/>
      <c r="C125" s="1852"/>
      <c r="D125" s="1852"/>
      <c r="E125" s="1852"/>
      <c r="F125" s="1852"/>
      <c r="G125" s="1852"/>
      <c r="H125" s="1852"/>
      <c r="I125" s="1853"/>
    </row>
    <row r="126" spans="1:9" s="236" customFormat="1" ht="18" customHeight="1">
      <c r="A126" s="308"/>
      <c r="B126" s="208" t="s">
        <v>438</v>
      </c>
      <c r="C126" s="385" t="s">
        <v>438</v>
      </c>
      <c r="D126" s="1846" t="s">
        <v>216</v>
      </c>
      <c r="E126" s="1847"/>
      <c r="F126" s="1847"/>
      <c r="G126" s="1847"/>
      <c r="H126" s="1847"/>
      <c r="I126" s="1848"/>
    </row>
    <row r="127" spans="1:9" s="236" customFormat="1" ht="18" customHeight="1">
      <c r="A127" s="310" t="s">
        <v>439</v>
      </c>
      <c r="B127" s="311" t="s">
        <v>258</v>
      </c>
      <c r="C127" s="311" t="s">
        <v>259</v>
      </c>
      <c r="D127" s="1857" t="s">
        <v>847</v>
      </c>
      <c r="E127" s="1858"/>
      <c r="F127" s="1835" t="s">
        <v>99</v>
      </c>
      <c r="G127" s="1836"/>
      <c r="H127" s="1836"/>
      <c r="I127" s="1837"/>
    </row>
    <row r="128" spans="1:9" ht="18" customHeight="1">
      <c r="A128" s="313"/>
      <c r="B128" s="314"/>
      <c r="C128" s="209" t="s">
        <v>105</v>
      </c>
      <c r="D128" s="1832" t="s">
        <v>106</v>
      </c>
      <c r="E128" s="1833"/>
      <c r="F128" s="1962" t="s">
        <v>440</v>
      </c>
      <c r="G128" s="1966"/>
      <c r="H128" s="1966"/>
      <c r="I128" s="1963"/>
    </row>
    <row r="129" spans="1:9" s="371" customFormat="1" ht="18" customHeight="1">
      <c r="A129" s="315" t="s">
        <v>532</v>
      </c>
      <c r="B129" s="583">
        <f>25%*B53</f>
        <v>445960059.25</v>
      </c>
      <c r="C129" s="583">
        <f>25%*C53</f>
        <v>445960059.25</v>
      </c>
      <c r="D129" s="1844">
        <f>25%*D53</f>
        <v>126445238.7575</v>
      </c>
      <c r="E129" s="1845"/>
      <c r="F129" s="1854">
        <f>D129/C129*100</f>
        <v>28.35348954122734</v>
      </c>
      <c r="G129" s="1855"/>
      <c r="H129" s="1855"/>
      <c r="I129" s="1856"/>
    </row>
    <row r="130" spans="1:9" ht="18" customHeight="1">
      <c r="A130" s="213"/>
      <c r="B130" s="208" t="s">
        <v>256</v>
      </c>
      <c r="C130" s="208" t="s">
        <v>256</v>
      </c>
      <c r="D130" s="1619" t="s">
        <v>646</v>
      </c>
      <c r="E130" s="1859"/>
      <c r="F130" s="1846" t="s">
        <v>257</v>
      </c>
      <c r="G130" s="1848"/>
      <c r="H130" s="1785" t="s">
        <v>925</v>
      </c>
      <c r="I130" s="1787"/>
    </row>
    <row r="131" spans="1:9" ht="18" customHeight="1">
      <c r="A131" s="309" t="s">
        <v>441</v>
      </c>
      <c r="B131" s="311" t="s">
        <v>258</v>
      </c>
      <c r="C131" s="311" t="s">
        <v>259</v>
      </c>
      <c r="D131" s="208" t="s">
        <v>103</v>
      </c>
      <c r="E131" s="733" t="s">
        <v>99</v>
      </c>
      <c r="F131" s="208" t="s">
        <v>103</v>
      </c>
      <c r="G131" s="733" t="s">
        <v>99</v>
      </c>
      <c r="H131" s="1893"/>
      <c r="I131" s="1895"/>
    </row>
    <row r="132" spans="1:9" ht="18" customHeight="1">
      <c r="A132" s="497"/>
      <c r="B132" s="314"/>
      <c r="C132" s="209" t="s">
        <v>427</v>
      </c>
      <c r="D132" s="1199" t="s">
        <v>442</v>
      </c>
      <c r="E132" s="1206" t="s">
        <v>443</v>
      </c>
      <c r="F132" s="1199" t="s">
        <v>724</v>
      </c>
      <c r="G132" s="733" t="s">
        <v>891</v>
      </c>
      <c r="H132" s="1815"/>
      <c r="I132" s="1817"/>
    </row>
    <row r="133" spans="1:9" s="371" customFormat="1" ht="18" customHeight="1">
      <c r="A133" s="498" t="s">
        <v>444</v>
      </c>
      <c r="B133" s="558">
        <f>B134+B137</f>
        <v>90313504</v>
      </c>
      <c r="C133" s="558">
        <f>C134+C137</f>
        <v>81006633.03999999</v>
      </c>
      <c r="D133" s="1202">
        <f>D134+D137</f>
        <v>15478024.370000001</v>
      </c>
      <c r="E133" s="1207">
        <f>D133/C133*100</f>
        <v>19.107107392498538</v>
      </c>
      <c r="F133" s="1223">
        <f>F134+F137</f>
        <v>11537613.71</v>
      </c>
      <c r="G133" s="1207">
        <f>F133/C133*100</f>
        <v>14.242801209010725</v>
      </c>
      <c r="H133" s="1960">
        <f>H135+H136</f>
        <v>0</v>
      </c>
      <c r="I133" s="1778"/>
    </row>
    <row r="134" spans="1:9" s="371" customFormat="1" ht="18" customHeight="1">
      <c r="A134" s="500" t="s">
        <v>887</v>
      </c>
      <c r="B134" s="1196">
        <f>B135+B136</f>
        <v>600146</v>
      </c>
      <c r="C134" s="1196">
        <f>C135+C136</f>
        <v>7840389.91</v>
      </c>
      <c r="D134" s="1203">
        <f>D135+D136</f>
        <v>1736360.24</v>
      </c>
      <c r="E134" s="1225">
        <f aca="true" t="shared" si="7" ref="E134:E147">D134/C134*100</f>
        <v>22.14635062709528</v>
      </c>
      <c r="F134" s="1203">
        <f>F135+F136</f>
        <v>554237.04</v>
      </c>
      <c r="G134" s="1225">
        <f aca="true" t="shared" si="8" ref="G134:G147">F134/C134*100</f>
        <v>7.068998434543417</v>
      </c>
      <c r="H134" s="1943"/>
      <c r="I134" s="1784"/>
    </row>
    <row r="135" spans="1:9" ht="15.75" customHeight="1">
      <c r="A135" s="499" t="s">
        <v>885</v>
      </c>
      <c r="B135" s="569">
        <v>600146</v>
      </c>
      <c r="C135" s="569">
        <v>7840389.91</v>
      </c>
      <c r="D135" s="571">
        <v>114225.7</v>
      </c>
      <c r="E135" s="1225">
        <f t="shared" si="7"/>
        <v>1.4568880031630977</v>
      </c>
      <c r="F135" s="1205">
        <f>D135</f>
        <v>114225.7</v>
      </c>
      <c r="G135" s="1225">
        <f t="shared" si="8"/>
        <v>1.4568880031630977</v>
      </c>
      <c r="H135" s="1928">
        <f>H101+H104</f>
        <v>0</v>
      </c>
      <c r="I135" s="1915"/>
    </row>
    <row r="136" spans="1:9" ht="17.25" customHeight="1">
      <c r="A136" s="499" t="s">
        <v>886</v>
      </c>
      <c r="B136" s="569"/>
      <c r="C136" s="569"/>
      <c r="D136" s="559">
        <v>1622134.54</v>
      </c>
      <c r="E136" s="1225"/>
      <c r="F136" s="1205">
        <v>440011.34</v>
      </c>
      <c r="G136" s="1225"/>
      <c r="H136" s="1927"/>
      <c r="I136" s="1775"/>
    </row>
    <row r="137" spans="1:9" ht="18" customHeight="1">
      <c r="A137" s="500" t="s">
        <v>888</v>
      </c>
      <c r="B137" s="569">
        <f>B138+B139</f>
        <v>89713358</v>
      </c>
      <c r="C137" s="569">
        <f>C138+C139</f>
        <v>73166243.13</v>
      </c>
      <c r="D137" s="571">
        <f>D138+D139</f>
        <v>13741664.13</v>
      </c>
      <c r="E137" s="1225">
        <f t="shared" si="7"/>
        <v>18.781426436757382</v>
      </c>
      <c r="F137" s="1205">
        <f>F138+F139</f>
        <v>10983376.67</v>
      </c>
      <c r="G137" s="1225">
        <f t="shared" si="8"/>
        <v>15.011535648324875</v>
      </c>
      <c r="H137" s="1928">
        <f>H138+H139</f>
        <v>0</v>
      </c>
      <c r="I137" s="1915"/>
    </row>
    <row r="138" spans="1:9" ht="15" customHeight="1">
      <c r="A138" s="499" t="s">
        <v>889</v>
      </c>
      <c r="B138" s="569">
        <v>54872000</v>
      </c>
      <c r="C138" s="569">
        <f>B138</f>
        <v>54872000</v>
      </c>
      <c r="D138" s="559">
        <v>9956683.55</v>
      </c>
      <c r="E138" s="1225">
        <f t="shared" si="7"/>
        <v>18.14529003863537</v>
      </c>
      <c r="F138" s="559">
        <v>9956683.55</v>
      </c>
      <c r="G138" s="1225">
        <f t="shared" si="8"/>
        <v>18.14529003863537</v>
      </c>
      <c r="H138" s="1927"/>
      <c r="I138" s="1775"/>
    </row>
    <row r="139" spans="1:9" ht="15" customHeight="1">
      <c r="A139" s="499" t="s">
        <v>890</v>
      </c>
      <c r="B139" s="569">
        <v>34841358</v>
      </c>
      <c r="C139" s="569">
        <v>18294243.13</v>
      </c>
      <c r="D139" s="559">
        <v>3784980.58</v>
      </c>
      <c r="E139" s="1225">
        <f t="shared" si="7"/>
        <v>20.689462543509993</v>
      </c>
      <c r="F139" s="1205">
        <v>1026693.12</v>
      </c>
      <c r="G139" s="1225">
        <f t="shared" si="8"/>
        <v>5.612110392893855</v>
      </c>
      <c r="H139" s="1927"/>
      <c r="I139" s="1775"/>
    </row>
    <row r="140" spans="1:9" s="371" customFormat="1" ht="18" customHeight="1">
      <c r="A140" s="500" t="s">
        <v>445</v>
      </c>
      <c r="B140" s="570">
        <f>B141+B142</f>
        <v>421648254.96000004</v>
      </c>
      <c r="C140" s="570">
        <f>C141+C142</f>
        <v>430955125.91999996</v>
      </c>
      <c r="D140" s="1204">
        <f>D141+D142</f>
        <v>169031712.57999998</v>
      </c>
      <c r="E140" s="1225">
        <f t="shared" si="7"/>
        <v>39.22257850377166</v>
      </c>
      <c r="F140" s="572">
        <f>F141+F142</f>
        <v>120389667.77</v>
      </c>
      <c r="G140" s="1225">
        <f t="shared" si="8"/>
        <v>27.935546076402503</v>
      </c>
      <c r="H140" s="1928">
        <f>H141+H142</f>
        <v>0</v>
      </c>
      <c r="I140" s="1915"/>
    </row>
    <row r="141" spans="1:9" ht="18" customHeight="1">
      <c r="A141" s="499" t="s">
        <v>446</v>
      </c>
      <c r="B141" s="569">
        <f>B102+B105</f>
        <v>200214771</v>
      </c>
      <c r="C141" s="569">
        <f>C102+C105</f>
        <v>200214771</v>
      </c>
      <c r="D141" s="571">
        <f>D102+D105</f>
        <v>71054173.08</v>
      </c>
      <c r="E141" s="1225">
        <f t="shared" si="7"/>
        <v>35.48897652511363</v>
      </c>
      <c r="F141" s="1205">
        <f>F102+F105</f>
        <v>71054173.08</v>
      </c>
      <c r="G141" s="1225">
        <f t="shared" si="8"/>
        <v>35.48897652511363</v>
      </c>
      <c r="H141" s="1928">
        <f>H102+H105</f>
        <v>0</v>
      </c>
      <c r="I141" s="1915"/>
    </row>
    <row r="142" spans="1:9" ht="15" customHeight="1">
      <c r="A142" s="499" t="s">
        <v>447</v>
      </c>
      <c r="B142" s="569">
        <v>221433483.96</v>
      </c>
      <c r="C142" s="569">
        <v>230740354.92</v>
      </c>
      <c r="D142" s="559">
        <v>97977539.5</v>
      </c>
      <c r="E142" s="1225">
        <f t="shared" si="7"/>
        <v>42.46224702825381</v>
      </c>
      <c r="F142" s="1205">
        <v>49335494.69</v>
      </c>
      <c r="G142" s="1225">
        <f t="shared" si="8"/>
        <v>21.381389790747747</v>
      </c>
      <c r="H142" s="1927"/>
      <c r="I142" s="1775"/>
    </row>
    <row r="143" spans="1:9" s="371" customFormat="1" ht="15" customHeight="1">
      <c r="A143" s="500" t="s">
        <v>448</v>
      </c>
      <c r="B143" s="570"/>
      <c r="C143" s="570"/>
      <c r="D143" s="1204"/>
      <c r="E143" s="1225"/>
      <c r="F143" s="572"/>
      <c r="G143" s="1225"/>
      <c r="H143" s="1927"/>
      <c r="I143" s="1775"/>
    </row>
    <row r="144" spans="1:9" s="371" customFormat="1" ht="15" customHeight="1">
      <c r="A144" s="500" t="s">
        <v>449</v>
      </c>
      <c r="B144" s="570"/>
      <c r="C144" s="570"/>
      <c r="D144" s="1204"/>
      <c r="E144" s="1225"/>
      <c r="F144" s="572"/>
      <c r="G144" s="1225"/>
      <c r="H144" s="1927"/>
      <c r="I144" s="1775"/>
    </row>
    <row r="145" spans="1:9" s="371" customFormat="1" ht="16.5" customHeight="1">
      <c r="A145" s="500" t="s">
        <v>450</v>
      </c>
      <c r="B145" s="570"/>
      <c r="C145" s="570"/>
      <c r="D145" s="1204"/>
      <c r="E145" s="1225"/>
      <c r="F145" s="572"/>
      <c r="G145" s="1225"/>
      <c r="H145" s="1927"/>
      <c r="I145" s="1775"/>
    </row>
    <row r="146" spans="1:9" s="371" customFormat="1" ht="15" customHeight="1">
      <c r="A146" s="604" t="s">
        <v>451</v>
      </c>
      <c r="B146" s="570"/>
      <c r="C146" s="570"/>
      <c r="D146" s="559"/>
      <c r="E146" s="1226"/>
      <c r="F146" s="572"/>
      <c r="G146" s="1226"/>
      <c r="H146" s="1954"/>
      <c r="I146" s="1955"/>
    </row>
    <row r="147" spans="1:9" s="371" customFormat="1" ht="21.75" customHeight="1">
      <c r="A147" s="604" t="s">
        <v>452</v>
      </c>
      <c r="B147" s="573">
        <f>B133+B140+B143+B144+B145+B146</f>
        <v>511961758.96000004</v>
      </c>
      <c r="C147" s="573">
        <f>C133+C140+C143+C144+C145+C146</f>
        <v>511961758.9599999</v>
      </c>
      <c r="D147" s="573">
        <f>D133+D140+D143+D144+D145+D146</f>
        <v>184509736.95</v>
      </c>
      <c r="E147" s="565">
        <f t="shared" si="7"/>
        <v>36.039749790065066</v>
      </c>
      <c r="F147" s="1209">
        <f>F133+F140+F143+F144+F145+F146</f>
        <v>131927281.47999999</v>
      </c>
      <c r="G147" s="1224">
        <f t="shared" si="8"/>
        <v>25.76897183648976</v>
      </c>
      <c r="H147" s="1956">
        <f>H133+H140+H143+H144+H145+H146</f>
        <v>0</v>
      </c>
      <c r="I147" s="1957"/>
    </row>
    <row r="148" spans="1:9" ht="10.5" customHeight="1">
      <c r="A148" s="1210"/>
      <c r="B148" s="1210"/>
      <c r="C148" s="1211"/>
      <c r="D148" s="1211"/>
      <c r="E148" s="1934" t="s">
        <v>270</v>
      </c>
      <c r="F148" s="1935"/>
      <c r="G148" s="1935"/>
      <c r="H148" s="1935"/>
      <c r="I148" s="1936"/>
    </row>
    <row r="149" spans="1:9" ht="10.5" customHeight="1">
      <c r="A149" s="1842" t="s">
        <v>453</v>
      </c>
      <c r="B149" s="1842"/>
      <c r="C149" s="1842"/>
      <c r="D149" s="1843"/>
      <c r="E149" s="1937"/>
      <c r="F149" s="1938"/>
      <c r="G149" s="1938"/>
      <c r="H149" s="1938"/>
      <c r="I149" s="1939"/>
    </row>
    <row r="150" spans="1:9" ht="9" customHeight="1">
      <c r="A150" s="1958"/>
      <c r="B150" s="1958"/>
      <c r="C150" s="1958"/>
      <c r="D150" s="1959"/>
      <c r="E150" s="1940"/>
      <c r="F150" s="1941"/>
      <c r="G150" s="1941"/>
      <c r="H150" s="1941"/>
      <c r="I150" s="1942"/>
    </row>
    <row r="151" spans="1:9" ht="18" customHeight="1">
      <c r="A151" s="1861" t="s">
        <v>454</v>
      </c>
      <c r="B151" s="1861"/>
      <c r="C151" s="1861"/>
      <c r="D151" s="1862"/>
      <c r="E151" s="1863">
        <f>D87</f>
        <v>-12996428.018000007</v>
      </c>
      <c r="F151" s="1863"/>
      <c r="G151" s="1863"/>
      <c r="H151" s="1863"/>
      <c r="I151" s="1863"/>
    </row>
    <row r="152" spans="1:9" ht="18" customHeight="1">
      <c r="A152" s="1861" t="s">
        <v>512</v>
      </c>
      <c r="B152" s="1861"/>
      <c r="C152" s="1861"/>
      <c r="D152" s="1862"/>
      <c r="E152" s="1863">
        <v>6148115.44</v>
      </c>
      <c r="F152" s="1863"/>
      <c r="G152" s="1863"/>
      <c r="H152" s="1863"/>
      <c r="I152" s="1863"/>
    </row>
    <row r="153" spans="1:9" ht="18" customHeight="1">
      <c r="A153" s="1861" t="s">
        <v>455</v>
      </c>
      <c r="B153" s="1861"/>
      <c r="C153" s="1861"/>
      <c r="D153" s="1862"/>
      <c r="E153" s="1863">
        <f>D86</f>
        <v>1168833.79</v>
      </c>
      <c r="F153" s="1863"/>
      <c r="G153" s="1863"/>
      <c r="H153" s="1863"/>
      <c r="I153" s="1863"/>
    </row>
    <row r="154" spans="1:9" ht="18" customHeight="1">
      <c r="A154" s="1861" t="s">
        <v>456</v>
      </c>
      <c r="B154" s="1861"/>
      <c r="C154" s="1861"/>
      <c r="D154" s="1862"/>
      <c r="E154" s="1863"/>
      <c r="F154" s="1863"/>
      <c r="G154" s="1863"/>
      <c r="H154" s="1863"/>
      <c r="I154" s="1863"/>
    </row>
    <row r="155" spans="1:9" ht="18" customHeight="1">
      <c r="A155" s="1861" t="s">
        <v>457</v>
      </c>
      <c r="B155" s="1861"/>
      <c r="C155" s="1861"/>
      <c r="D155" s="1862"/>
      <c r="E155" s="1961"/>
      <c r="F155" s="1961"/>
      <c r="G155" s="1961"/>
      <c r="H155" s="1961"/>
      <c r="I155" s="1961"/>
    </row>
    <row r="156" spans="1:9" ht="18" customHeight="1">
      <c r="A156" s="1861" t="s">
        <v>522</v>
      </c>
      <c r="B156" s="1861"/>
      <c r="C156" s="1861"/>
      <c r="D156" s="1862"/>
      <c r="E156" s="1860"/>
      <c r="F156" s="1860"/>
      <c r="G156" s="1860"/>
      <c r="H156" s="1860"/>
      <c r="I156" s="1860"/>
    </row>
    <row r="157" spans="1:9" ht="24.75" customHeight="1">
      <c r="A157" s="1861" t="s">
        <v>458</v>
      </c>
      <c r="B157" s="1861"/>
      <c r="C157" s="1861"/>
      <c r="D157" s="1862"/>
      <c r="E157" s="1860">
        <v>210065.39</v>
      </c>
      <c r="F157" s="1860"/>
      <c r="G157" s="1860"/>
      <c r="H157" s="1860"/>
      <c r="I157" s="1860"/>
    </row>
    <row r="158" spans="1:9" ht="18" customHeight="1">
      <c r="A158" s="1861" t="s">
        <v>513</v>
      </c>
      <c r="B158" s="1861"/>
      <c r="C158" s="1861"/>
      <c r="D158" s="1862"/>
      <c r="E158" s="1863">
        <f>SUM(E151:E157)</f>
        <v>-5469413.398000007</v>
      </c>
      <c r="F158" s="1863"/>
      <c r="G158" s="1863"/>
      <c r="H158" s="1863"/>
      <c r="I158" s="1863"/>
    </row>
    <row r="159" spans="1:9" ht="18" customHeight="1">
      <c r="A159" s="1861" t="s">
        <v>459</v>
      </c>
      <c r="B159" s="1861"/>
      <c r="C159" s="1861"/>
      <c r="D159" s="1862"/>
      <c r="E159" s="1903">
        <f>F133+H133+F140+H140-E158</f>
        <v>137396694.878</v>
      </c>
      <c r="F159" s="1903"/>
      <c r="G159" s="1903"/>
      <c r="H159" s="1903"/>
      <c r="I159" s="1903"/>
    </row>
    <row r="160" spans="1:9" ht="18" customHeight="1">
      <c r="A160" s="1861" t="s">
        <v>460</v>
      </c>
      <c r="B160" s="1861"/>
      <c r="C160" s="1861"/>
      <c r="D160" s="1862"/>
      <c r="E160" s="1903">
        <f>(E159/D53)*100</f>
        <v>27.165256720639157</v>
      </c>
      <c r="F160" s="1903"/>
      <c r="G160" s="1903"/>
      <c r="H160" s="1903"/>
      <c r="I160" s="1903"/>
    </row>
    <row r="161" spans="1:9" s="236" customFormat="1" ht="8.25" customHeight="1">
      <c r="A161" s="316"/>
      <c r="B161" s="316"/>
      <c r="C161" s="316"/>
      <c r="D161" s="316"/>
      <c r="E161" s="317"/>
      <c r="F161" s="317"/>
      <c r="G161" s="1197"/>
      <c r="H161" s="1212"/>
      <c r="I161" s="1198"/>
    </row>
    <row r="162" spans="1:9" s="236" customFormat="1" ht="18" customHeight="1">
      <c r="A162" s="1824" t="s">
        <v>461</v>
      </c>
      <c r="B162" s="1825"/>
      <c r="C162" s="1825"/>
      <c r="D162" s="1825"/>
      <c r="E162" s="1825"/>
      <c r="F162" s="1825"/>
      <c r="G162" s="1825"/>
      <c r="H162" s="1825"/>
      <c r="I162" s="1826"/>
    </row>
    <row r="163" spans="1:9" ht="18" customHeight="1">
      <c r="A163" s="502"/>
      <c r="B163" s="311" t="s">
        <v>256</v>
      </c>
      <c r="C163" s="311" t="s">
        <v>256</v>
      </c>
      <c r="D163" s="1832" t="s">
        <v>646</v>
      </c>
      <c r="E163" s="1858"/>
      <c r="F163" s="1962" t="s">
        <v>257</v>
      </c>
      <c r="G163" s="1963"/>
      <c r="H163" s="1785" t="s">
        <v>899</v>
      </c>
      <c r="I163" s="1787"/>
    </row>
    <row r="164" spans="1:9" ht="18" customHeight="1">
      <c r="A164" s="503" t="s">
        <v>892</v>
      </c>
      <c r="B164" s="311" t="s">
        <v>258</v>
      </c>
      <c r="C164" s="311" t="s">
        <v>259</v>
      </c>
      <c r="D164" s="385" t="s">
        <v>103</v>
      </c>
      <c r="E164" s="1215" t="s">
        <v>99</v>
      </c>
      <c r="F164" s="1213" t="s">
        <v>103</v>
      </c>
      <c r="G164" s="733" t="s">
        <v>99</v>
      </c>
      <c r="H164" s="1893"/>
      <c r="I164" s="1895"/>
    </row>
    <row r="165" spans="1:9" ht="18" customHeight="1">
      <c r="A165" s="497"/>
      <c r="B165" s="314"/>
      <c r="C165" s="209" t="s">
        <v>427</v>
      </c>
      <c r="D165" s="1208" t="s">
        <v>442</v>
      </c>
      <c r="E165" s="1216" t="s">
        <v>443</v>
      </c>
      <c r="F165" s="1214" t="s">
        <v>724</v>
      </c>
      <c r="G165" s="732" t="s">
        <v>891</v>
      </c>
      <c r="H165" s="1815"/>
      <c r="I165" s="1817"/>
    </row>
    <row r="166" spans="1:9" ht="18.75" customHeight="1">
      <c r="A166" s="501" t="s">
        <v>517</v>
      </c>
      <c r="B166" s="577">
        <v>0</v>
      </c>
      <c r="C166" s="577">
        <v>0</v>
      </c>
      <c r="D166" s="559"/>
      <c r="E166" s="1228"/>
      <c r="F166" s="730"/>
      <c r="G166" s="1231"/>
      <c r="H166" s="1835"/>
      <c r="I166" s="1837"/>
    </row>
    <row r="167" spans="1:9" s="371" customFormat="1" ht="18.75" customHeight="1">
      <c r="A167" s="500" t="s">
        <v>516</v>
      </c>
      <c r="B167" s="730">
        <v>4506204</v>
      </c>
      <c r="C167" s="730">
        <f>B167</f>
        <v>4506204</v>
      </c>
      <c r="D167" s="559">
        <v>2251160.48</v>
      </c>
      <c r="E167" s="1229">
        <f>D167/C167*100</f>
        <v>49.956914511637734</v>
      </c>
      <c r="F167" s="730">
        <v>2034882.81</v>
      </c>
      <c r="G167" s="1307">
        <f>F167/C167*100</f>
        <v>45.157361051563576</v>
      </c>
      <c r="H167" s="1952"/>
      <c r="I167" s="1953"/>
    </row>
    <row r="168" spans="1:9" s="371" customFormat="1" ht="18" customHeight="1">
      <c r="A168" s="500" t="s">
        <v>515</v>
      </c>
      <c r="B168" s="730">
        <v>3406450</v>
      </c>
      <c r="C168" s="730">
        <f>B168</f>
        <v>3406450</v>
      </c>
      <c r="D168" s="559"/>
      <c r="E168" s="1229">
        <f>D168/C168*100</f>
        <v>0</v>
      </c>
      <c r="F168" s="730"/>
      <c r="G168" s="1231">
        <f>F168/C168*100</f>
        <v>0</v>
      </c>
      <c r="H168" s="1952"/>
      <c r="I168" s="1953"/>
    </row>
    <row r="169" spans="1:9" s="371" customFormat="1" ht="23.25" customHeight="1">
      <c r="A169" s="500" t="s">
        <v>514</v>
      </c>
      <c r="B169" s="730">
        <v>18843406</v>
      </c>
      <c r="C169" s="730">
        <v>21353911.56</v>
      </c>
      <c r="D169" s="1036">
        <v>5877249.03</v>
      </c>
      <c r="E169" s="1188">
        <f>D169/C169*100</f>
        <v>27.523055967924975</v>
      </c>
      <c r="F169" s="578">
        <v>2099134.31</v>
      </c>
      <c r="G169" s="1231"/>
      <c r="H169" s="1905"/>
      <c r="I169" s="1906"/>
    </row>
    <row r="170" spans="1:9" s="371" customFormat="1" ht="24" customHeight="1">
      <c r="A170" s="504" t="s">
        <v>893</v>
      </c>
      <c r="B170" s="1217">
        <f>B166+B167+B168+B169</f>
        <v>26756060</v>
      </c>
      <c r="C170" s="1217">
        <f>C166+C167+C168+C169</f>
        <v>29266565.56</v>
      </c>
      <c r="D170" s="1218">
        <f>D166+D167+D168+D169</f>
        <v>8128409.51</v>
      </c>
      <c r="E170" s="1230">
        <f>D170/C170*100</f>
        <v>27.773704753076604</v>
      </c>
      <c r="F170" s="1219">
        <f>F166+F167+F168+F169</f>
        <v>4134017.12</v>
      </c>
      <c r="G170" s="1308">
        <f>F170/C170*100</f>
        <v>14.125392033188058</v>
      </c>
      <c r="H170" s="1864">
        <f>H166+H167+H168+H169</f>
        <v>0</v>
      </c>
      <c r="I170" s="1865"/>
    </row>
    <row r="171" spans="1:9" s="371" customFormat="1" ht="18" customHeight="1">
      <c r="A171" s="1220" t="s">
        <v>463</v>
      </c>
      <c r="B171" s="1221">
        <f>B147+B170</f>
        <v>538717818.96</v>
      </c>
      <c r="C171" s="1221">
        <f>C147+C170</f>
        <v>541228324.5199999</v>
      </c>
      <c r="D171" s="1221">
        <f>D147+D170</f>
        <v>192638146.45999998</v>
      </c>
      <c r="E171" s="1227">
        <f>D171/C171*100</f>
        <v>35.59276884313941</v>
      </c>
      <c r="F171" s="1222">
        <f>F147+F170+I147+I170</f>
        <v>136061298.6</v>
      </c>
      <c r="G171" s="1232">
        <f>F171/C171*100</f>
        <v>25.139352919245113</v>
      </c>
      <c r="H171" s="1866"/>
      <c r="I171" s="1867"/>
    </row>
    <row r="172" spans="1:9" s="371" customFormat="1" ht="18" customHeight="1">
      <c r="A172" s="1240"/>
      <c r="B172" s="1241"/>
      <c r="C172" s="1241"/>
      <c r="D172" s="1241"/>
      <c r="E172" s="1242"/>
      <c r="F172" s="1243"/>
      <c r="G172" s="561"/>
      <c r="H172" s="557"/>
      <c r="I172" s="1244"/>
    </row>
    <row r="173" spans="1:9" s="371" customFormat="1" ht="18" customHeight="1">
      <c r="A173" s="1771" t="s">
        <v>535</v>
      </c>
      <c r="B173" s="1771"/>
      <c r="C173" s="1771"/>
      <c r="D173" s="1771"/>
      <c r="E173" s="490"/>
      <c r="F173" s="490"/>
      <c r="G173" s="1772"/>
      <c r="H173" s="1772"/>
      <c r="I173" s="1868"/>
    </row>
    <row r="174" spans="1:9" s="371" customFormat="1" ht="18" customHeight="1">
      <c r="A174" s="1771" t="s">
        <v>534</v>
      </c>
      <c r="B174" s="1771"/>
      <c r="C174" s="1771"/>
      <c r="D174" s="1771"/>
      <c r="E174" s="490"/>
      <c r="F174" s="490"/>
      <c r="G174" s="1772"/>
      <c r="H174" s="1772"/>
      <c r="I174" s="1868"/>
    </row>
    <row r="175" spans="1:9" s="371" customFormat="1" ht="18" customHeight="1">
      <c r="A175" s="1828" t="s">
        <v>901</v>
      </c>
      <c r="B175" s="1828"/>
      <c r="C175" s="1828"/>
      <c r="D175" s="1828"/>
      <c r="E175" s="602" t="str">
        <f>'Anexo 1 _ BAL ORC'!H3</f>
        <v>Publicação: Diário Oficial do Município nº 96</v>
      </c>
      <c r="F175" s="490"/>
      <c r="G175" s="490"/>
      <c r="H175" s="490"/>
      <c r="I175" s="1235"/>
    </row>
    <row r="176" spans="1:9" s="371" customFormat="1" ht="18" customHeight="1">
      <c r="A176" s="1771" t="s">
        <v>533</v>
      </c>
      <c r="B176" s="1771"/>
      <c r="C176" s="1771"/>
      <c r="D176" s="1771"/>
      <c r="E176" s="602" t="str">
        <f>E91</f>
        <v>Data: 22/05/2015</v>
      </c>
      <c r="F176" s="490"/>
      <c r="G176" s="1772"/>
      <c r="H176" s="1772"/>
      <c r="I176" s="1868"/>
    </row>
    <row r="177" spans="1:9" s="371" customFormat="1" ht="18" customHeight="1">
      <c r="A177" s="1772" t="str">
        <f>A5</f>
        <v>Referência: JANEIRO-ABRIL/2015; BIMESTRE: MARÇO-ABRIL/2015</v>
      </c>
      <c r="B177" s="1772"/>
      <c r="C177" s="490"/>
      <c r="D177" s="490"/>
      <c r="E177" s="490"/>
      <c r="F177" s="490"/>
      <c r="G177" s="1772"/>
      <c r="H177" s="1772"/>
      <c r="I177" s="1868"/>
    </row>
    <row r="178" spans="1:9" s="371" customFormat="1" ht="18" customHeight="1">
      <c r="A178" s="471" t="s">
        <v>656</v>
      </c>
      <c r="B178" s="605"/>
      <c r="C178" s="605"/>
      <c r="D178" s="605"/>
      <c r="E178" s="320"/>
      <c r="F178" s="605"/>
      <c r="G178" s="560"/>
      <c r="H178" s="1254" t="s">
        <v>538</v>
      </c>
      <c r="I178" s="1195"/>
    </row>
    <row r="179" spans="1:9" ht="31.5" customHeight="1">
      <c r="A179" s="1201" t="s">
        <v>464</v>
      </c>
      <c r="B179" s="1846" t="s">
        <v>465</v>
      </c>
      <c r="C179" s="1848"/>
      <c r="D179" s="1846" t="s">
        <v>894</v>
      </c>
      <c r="E179" s="1847"/>
      <c r="F179" s="1847"/>
      <c r="G179" s="1847"/>
      <c r="H179" s="1847"/>
      <c r="I179" s="1848"/>
    </row>
    <row r="180" spans="1:9" ht="18" customHeight="1">
      <c r="A180" s="1239" t="s">
        <v>508</v>
      </c>
      <c r="B180" s="1873">
        <f>B181+B182</f>
        <v>0</v>
      </c>
      <c r="C180" s="1756"/>
      <c r="D180" s="1904">
        <f>D181+D182</f>
        <v>0</v>
      </c>
      <c r="E180" s="1904"/>
      <c r="F180" s="1904"/>
      <c r="G180" s="1904"/>
      <c r="H180" s="1904"/>
      <c r="I180" s="1904"/>
    </row>
    <row r="181" spans="1:9" ht="18" customHeight="1">
      <c r="A181" s="1233" t="s">
        <v>895</v>
      </c>
      <c r="B181" s="1900"/>
      <c r="C181" s="1901"/>
      <c r="D181" s="1902"/>
      <c r="E181" s="1902"/>
      <c r="F181" s="1902"/>
      <c r="G181" s="1902"/>
      <c r="H181" s="1902"/>
      <c r="I181" s="1902"/>
    </row>
    <row r="182" spans="1:9" ht="18" customHeight="1">
      <c r="A182" s="1233" t="s">
        <v>896</v>
      </c>
      <c r="B182" s="1900"/>
      <c r="C182" s="1901"/>
      <c r="D182" s="1902"/>
      <c r="E182" s="1902"/>
      <c r="F182" s="1902"/>
      <c r="G182" s="1902"/>
      <c r="H182" s="1902"/>
      <c r="I182" s="1902"/>
    </row>
    <row r="183" spans="1:9" ht="17.25" customHeight="1">
      <c r="A183" s="217"/>
      <c r="B183" s="213"/>
      <c r="C183" s="1234"/>
      <c r="D183" s="213"/>
      <c r="E183" s="213"/>
      <c r="F183" s="213"/>
      <c r="G183" s="1836"/>
      <c r="H183" s="1836"/>
      <c r="I183" s="1837"/>
    </row>
    <row r="184" spans="1:9" ht="12" customHeight="1">
      <c r="A184" s="1872" t="s">
        <v>466</v>
      </c>
      <c r="B184" s="1872"/>
      <c r="C184" s="1872"/>
      <c r="D184" s="1872"/>
      <c r="E184" s="1878" t="s">
        <v>270</v>
      </c>
      <c r="F184" s="1879"/>
      <c r="G184" s="1879"/>
      <c r="H184" s="1879"/>
      <c r="I184" s="1880"/>
    </row>
    <row r="185" spans="1:9" ht="12.75" customHeight="1">
      <c r="A185" s="1872"/>
      <c r="B185" s="1872"/>
      <c r="C185" s="1872"/>
      <c r="D185" s="1872"/>
      <c r="E185" s="1881"/>
      <c r="F185" s="1882"/>
      <c r="G185" s="1882"/>
      <c r="H185" s="1882"/>
      <c r="I185" s="1883"/>
    </row>
    <row r="186" spans="1:9" ht="23.25" customHeight="1">
      <c r="A186" s="608" t="s">
        <v>849</v>
      </c>
      <c r="B186" s="609"/>
      <c r="C186" s="609"/>
      <c r="D186" s="609"/>
      <c r="E186" s="1869">
        <v>13572061.33</v>
      </c>
      <c r="F186" s="1870"/>
      <c r="G186" s="1870"/>
      <c r="H186" s="1870"/>
      <c r="I186" s="1871"/>
    </row>
    <row r="187" spans="1:9" ht="18" customHeight="1">
      <c r="A187" s="1874" t="s">
        <v>557</v>
      </c>
      <c r="B187" s="1874"/>
      <c r="C187" s="1874"/>
      <c r="D187" s="1874"/>
      <c r="E187" s="1875">
        <v>139933662.33</v>
      </c>
      <c r="F187" s="1876"/>
      <c r="G187" s="1876"/>
      <c r="H187" s="1876"/>
      <c r="I187" s="1877"/>
    </row>
    <row r="188" spans="1:9" ht="18" customHeight="1">
      <c r="A188" s="1874" t="s">
        <v>560</v>
      </c>
      <c r="B188" s="1874"/>
      <c r="C188" s="1874"/>
      <c r="D188" s="1874"/>
      <c r="E188" s="1884">
        <f>E189+E190</f>
        <v>86315651.69</v>
      </c>
      <c r="F188" s="1885"/>
      <c r="G188" s="1885"/>
      <c r="H188" s="1885"/>
      <c r="I188" s="1886"/>
    </row>
    <row r="189" spans="1:9" ht="18" customHeight="1">
      <c r="A189" s="1186" t="s">
        <v>897</v>
      </c>
      <c r="B189" s="1186"/>
      <c r="C189" s="1186"/>
      <c r="D189" s="1186"/>
      <c r="E189" s="1884">
        <v>79281582.24</v>
      </c>
      <c r="F189" s="1885"/>
      <c r="G189" s="1885"/>
      <c r="H189" s="1885"/>
      <c r="I189" s="1886"/>
    </row>
    <row r="190" spans="1:9" ht="18" customHeight="1">
      <c r="A190" s="1186" t="s">
        <v>898</v>
      </c>
      <c r="B190" s="1186"/>
      <c r="C190" s="1186"/>
      <c r="D190" s="1186"/>
      <c r="E190" s="1884">
        <v>7034069.45</v>
      </c>
      <c r="F190" s="1885"/>
      <c r="G190" s="1885"/>
      <c r="H190" s="1885"/>
      <c r="I190" s="1886"/>
    </row>
    <row r="191" spans="1:9" ht="18" customHeight="1">
      <c r="A191" s="1874" t="s">
        <v>559</v>
      </c>
      <c r="B191" s="1874"/>
      <c r="C191" s="1874"/>
      <c r="D191" s="1874"/>
      <c r="E191" s="1884">
        <f>E153</f>
        <v>1168833.79</v>
      </c>
      <c r="F191" s="1885"/>
      <c r="G191" s="1885"/>
      <c r="H191" s="1885"/>
      <c r="I191" s="1886"/>
    </row>
    <row r="192" spans="1:9" ht="21.75" customHeight="1">
      <c r="A192" s="1897" t="s">
        <v>558</v>
      </c>
      <c r="B192" s="1897"/>
      <c r="C192" s="1897"/>
      <c r="D192" s="1897"/>
      <c r="E192" s="1929">
        <f>E186+E187-E188+E191</f>
        <v>68358905.76000004</v>
      </c>
      <c r="F192" s="1888"/>
      <c r="G192" s="1888"/>
      <c r="H192" s="1888"/>
      <c r="I192" s="1889"/>
    </row>
    <row r="193" spans="1:9" ht="18" customHeight="1">
      <c r="A193" s="175" t="str">
        <f>'[14]Anexo III _ RCL'!A35</f>
        <v>FONTE: SECRETARIA MUNICIPAL DA FAZENDA</v>
      </c>
      <c r="B193" s="213"/>
      <c r="C193" s="316"/>
      <c r="D193" s="316"/>
      <c r="E193" s="556"/>
      <c r="F193" s="556"/>
      <c r="G193" s="1896"/>
      <c r="H193" s="1896"/>
      <c r="I193" s="236"/>
    </row>
    <row r="194" spans="1:8" s="236" customFormat="1" ht="18.75" customHeight="1">
      <c r="A194" s="175" t="str">
        <f>'Anexo 1 _ BAL ORC'!A100</f>
        <v>  São Luís, 22 de Maio de 2015</v>
      </c>
      <c r="B194" s="318"/>
      <c r="C194" s="318"/>
      <c r="D194" s="318"/>
      <c r="E194" s="318"/>
      <c r="F194" s="318"/>
      <c r="G194" s="582"/>
      <c r="H194" s="319"/>
    </row>
    <row r="195" spans="1:8" s="236" customFormat="1" ht="12.75">
      <c r="A195" s="223"/>
      <c r="B195" s="1253"/>
      <c r="C195" s="1253"/>
      <c r="D195" s="1253"/>
      <c r="E195" s="1253"/>
      <c r="F195" s="1253"/>
      <c r="G195" s="555"/>
      <c r="H195" s="555"/>
    </row>
    <row r="196" spans="1:9" ht="12.75">
      <c r="A196" s="322"/>
      <c r="B196" s="320"/>
      <c r="C196" s="318"/>
      <c r="D196" s="320"/>
      <c r="E196" s="320"/>
      <c r="F196" s="320"/>
      <c r="G196" s="320"/>
      <c r="H196" s="320"/>
      <c r="I196" s="236"/>
    </row>
    <row r="197" spans="1:9" ht="12.75">
      <c r="A197" s="322"/>
      <c r="B197" s="320"/>
      <c r="C197" s="318"/>
      <c r="D197" s="320"/>
      <c r="E197" s="320"/>
      <c r="F197" s="320"/>
      <c r="G197" s="320"/>
      <c r="H197" s="320"/>
      <c r="I197" s="236"/>
    </row>
    <row r="198" spans="1:9" ht="19.5" customHeight="1">
      <c r="A198" s="321"/>
      <c r="B198" s="320"/>
      <c r="C198" s="318"/>
      <c r="D198" s="320"/>
      <c r="E198" s="320"/>
      <c r="F198" s="320"/>
      <c r="G198" s="320"/>
      <c r="H198" s="320"/>
      <c r="I198" s="236"/>
    </row>
    <row r="199" spans="1:9" ht="12.75">
      <c r="A199" s="323"/>
      <c r="B199" s="320"/>
      <c r="C199" s="320"/>
      <c r="D199" s="320"/>
      <c r="E199" s="320"/>
      <c r="F199" s="320"/>
      <c r="G199" s="236"/>
      <c r="H199" s="236"/>
      <c r="I199" s="236"/>
    </row>
    <row r="200" spans="2:9" ht="12.75">
      <c r="B200" s="236"/>
      <c r="C200" s="236"/>
      <c r="D200" s="236"/>
      <c r="E200" s="236"/>
      <c r="F200" s="236"/>
      <c r="G200" s="236"/>
      <c r="H200" s="236"/>
      <c r="I200" s="236"/>
    </row>
    <row r="201" spans="2:9" ht="12.75">
      <c r="B201" s="236"/>
      <c r="C201" s="236"/>
      <c r="D201" s="236"/>
      <c r="E201" s="236"/>
      <c r="F201" s="236"/>
      <c r="G201" s="236"/>
      <c r="H201" s="236"/>
      <c r="I201" s="236"/>
    </row>
    <row r="202" spans="2:9" ht="12.75">
      <c r="B202" s="236"/>
      <c r="C202" s="236"/>
      <c r="D202" s="236"/>
      <c r="E202" s="236"/>
      <c r="F202" s="236"/>
      <c r="G202" s="236"/>
      <c r="H202" s="236"/>
      <c r="I202" s="236"/>
    </row>
    <row r="203" spans="2:9" ht="12.75">
      <c r="B203" s="236"/>
      <c r="C203" s="236"/>
      <c r="D203" s="236"/>
      <c r="E203" s="236"/>
      <c r="F203" s="236"/>
      <c r="G203" s="236"/>
      <c r="H203" s="236"/>
      <c r="I203" s="236"/>
    </row>
    <row r="204" spans="2:9" ht="12.75">
      <c r="B204" s="236"/>
      <c r="C204" s="236"/>
      <c r="D204" s="236"/>
      <c r="E204" s="236"/>
      <c r="F204" s="236"/>
      <c r="G204" s="236"/>
      <c r="H204" s="236"/>
      <c r="I204" s="236"/>
    </row>
    <row r="205" spans="2:9" ht="12.75">
      <c r="B205" s="236"/>
      <c r="C205" s="236"/>
      <c r="D205" s="236"/>
      <c r="E205" s="236"/>
      <c r="F205" s="236"/>
      <c r="G205" s="236"/>
      <c r="H205" s="236"/>
      <c r="I205" s="236"/>
    </row>
    <row r="206" spans="2:9" ht="12.75">
      <c r="B206" s="236"/>
      <c r="C206" s="236"/>
      <c r="D206" s="236"/>
      <c r="E206" s="236"/>
      <c r="F206" s="236"/>
      <c r="G206" s="236"/>
      <c r="H206" s="236"/>
      <c r="I206" s="236"/>
    </row>
    <row r="207" spans="2:9" ht="4.5" customHeight="1">
      <c r="B207" s="236"/>
      <c r="C207" s="236"/>
      <c r="D207" s="236"/>
      <c r="E207" s="236"/>
      <c r="F207" s="236"/>
      <c r="G207" s="236"/>
      <c r="H207" s="236"/>
      <c r="I207" s="236"/>
    </row>
    <row r="208" ht="12.75" hidden="1">
      <c r="I208" s="236"/>
    </row>
    <row r="209" ht="12.75" hidden="1">
      <c r="I209" s="236"/>
    </row>
    <row r="210" ht="12.75">
      <c r="I210" s="236"/>
    </row>
  </sheetData>
  <sheetProtection/>
  <mergeCells count="308">
    <mergeCell ref="H167:I167"/>
    <mergeCell ref="E155:I155"/>
    <mergeCell ref="F163:G163"/>
    <mergeCell ref="H103:I103"/>
    <mergeCell ref="H104:I104"/>
    <mergeCell ref="H105:I105"/>
    <mergeCell ref="F128:I128"/>
    <mergeCell ref="H130:I132"/>
    <mergeCell ref="E152:I152"/>
    <mergeCell ref="H143:I143"/>
    <mergeCell ref="H144:I144"/>
    <mergeCell ref="H137:I137"/>
    <mergeCell ref="H138:I138"/>
    <mergeCell ref="H133:I133"/>
    <mergeCell ref="A152:D152"/>
    <mergeCell ref="H136:I136"/>
    <mergeCell ref="H168:I168"/>
    <mergeCell ref="H145:I145"/>
    <mergeCell ref="H146:I146"/>
    <mergeCell ref="H147:I147"/>
    <mergeCell ref="E151:I151"/>
    <mergeCell ref="E153:I153"/>
    <mergeCell ref="D163:E163"/>
    <mergeCell ref="H163:I165"/>
    <mergeCell ref="A150:D150"/>
    <mergeCell ref="E156:I156"/>
    <mergeCell ref="A111:F111"/>
    <mergeCell ref="A114:F114"/>
    <mergeCell ref="A115:F115"/>
    <mergeCell ref="G114:I114"/>
    <mergeCell ref="G115:I115"/>
    <mergeCell ref="G84:I84"/>
    <mergeCell ref="A97:A99"/>
    <mergeCell ref="G109:I109"/>
    <mergeCell ref="A109:F109"/>
    <mergeCell ref="C97:C98"/>
    <mergeCell ref="E192:I192"/>
    <mergeCell ref="D97:E98"/>
    <mergeCell ref="F97:G98"/>
    <mergeCell ref="E158:I158"/>
    <mergeCell ref="E159:I159"/>
    <mergeCell ref="E148:I150"/>
    <mergeCell ref="H134:I134"/>
    <mergeCell ref="H135:I135"/>
    <mergeCell ref="H102:I102"/>
    <mergeCell ref="I107:I108"/>
    <mergeCell ref="G72:I72"/>
    <mergeCell ref="D73:I73"/>
    <mergeCell ref="G74:I74"/>
    <mergeCell ref="G67:I67"/>
    <mergeCell ref="A153:D153"/>
    <mergeCell ref="H139:I139"/>
    <mergeCell ref="H140:I140"/>
    <mergeCell ref="H141:I141"/>
    <mergeCell ref="H142:I142"/>
    <mergeCell ref="D68:F68"/>
    <mergeCell ref="H97:I99"/>
    <mergeCell ref="H101:I101"/>
    <mergeCell ref="H100:I100"/>
    <mergeCell ref="H106:I106"/>
    <mergeCell ref="B97:B99"/>
    <mergeCell ref="G68:I68"/>
    <mergeCell ref="G69:I69"/>
    <mergeCell ref="G70:I70"/>
    <mergeCell ref="G71:I71"/>
    <mergeCell ref="G82:I82"/>
    <mergeCell ref="D64:F64"/>
    <mergeCell ref="D65:F65"/>
    <mergeCell ref="D67:F67"/>
    <mergeCell ref="D66:F66"/>
    <mergeCell ref="D69:F69"/>
    <mergeCell ref="D47:F47"/>
    <mergeCell ref="D48:F48"/>
    <mergeCell ref="D59:F59"/>
    <mergeCell ref="D58:F58"/>
    <mergeCell ref="D49:F49"/>
    <mergeCell ref="G56:I56"/>
    <mergeCell ref="G57:I57"/>
    <mergeCell ref="G52:I52"/>
    <mergeCell ref="G54:I54"/>
    <mergeCell ref="G66:I66"/>
    <mergeCell ref="D60:F60"/>
    <mergeCell ref="D61:F61"/>
    <mergeCell ref="G63:I63"/>
    <mergeCell ref="D62:F62"/>
    <mergeCell ref="D63:F63"/>
    <mergeCell ref="G65:I65"/>
    <mergeCell ref="H166:I166"/>
    <mergeCell ref="H169:I169"/>
    <mergeCell ref="G75:I75"/>
    <mergeCell ref="D74:F75"/>
    <mergeCell ref="D70:F70"/>
    <mergeCell ref="D71:F71"/>
    <mergeCell ref="G85:I85"/>
    <mergeCell ref="G80:I80"/>
    <mergeCell ref="G81:I81"/>
    <mergeCell ref="A112:F112"/>
    <mergeCell ref="B181:C181"/>
    <mergeCell ref="B182:C182"/>
    <mergeCell ref="D181:I181"/>
    <mergeCell ref="D182:I182"/>
    <mergeCell ref="A160:D160"/>
    <mergeCell ref="G173:I173"/>
    <mergeCell ref="E160:I160"/>
    <mergeCell ref="A162:I162"/>
    <mergeCell ref="D180:I180"/>
    <mergeCell ref="D50:F50"/>
    <mergeCell ref="D51:F51"/>
    <mergeCell ref="D52:F52"/>
    <mergeCell ref="D53:F53"/>
    <mergeCell ref="D56:F57"/>
    <mergeCell ref="G193:H193"/>
    <mergeCell ref="G174:I174"/>
    <mergeCell ref="A192:D192"/>
    <mergeCell ref="A187:D187"/>
    <mergeCell ref="A188:D188"/>
    <mergeCell ref="A191:D191"/>
    <mergeCell ref="E187:I187"/>
    <mergeCell ref="G183:I183"/>
    <mergeCell ref="E184:I185"/>
    <mergeCell ref="E191:I191"/>
    <mergeCell ref="E188:I188"/>
    <mergeCell ref="E189:I189"/>
    <mergeCell ref="E190:I190"/>
    <mergeCell ref="D179:I179"/>
    <mergeCell ref="E186:I186"/>
    <mergeCell ref="A184:D185"/>
    <mergeCell ref="B180:C180"/>
    <mergeCell ref="B179:C179"/>
    <mergeCell ref="G177:I177"/>
    <mergeCell ref="A177:B177"/>
    <mergeCell ref="A173:D173"/>
    <mergeCell ref="A174:D174"/>
    <mergeCell ref="H170:I170"/>
    <mergeCell ref="H171:I171"/>
    <mergeCell ref="A175:D175"/>
    <mergeCell ref="G176:I176"/>
    <mergeCell ref="A176:D176"/>
    <mergeCell ref="E157:I157"/>
    <mergeCell ref="A154:D154"/>
    <mergeCell ref="A151:D151"/>
    <mergeCell ref="A159:D159"/>
    <mergeCell ref="A157:D157"/>
    <mergeCell ref="A158:D158"/>
    <mergeCell ref="A155:D155"/>
    <mergeCell ref="A156:D156"/>
    <mergeCell ref="E154:I154"/>
    <mergeCell ref="A124:D124"/>
    <mergeCell ref="A149:D149"/>
    <mergeCell ref="D129:E129"/>
    <mergeCell ref="D126:I126"/>
    <mergeCell ref="E124:I124"/>
    <mergeCell ref="A125:I125"/>
    <mergeCell ref="F129:I129"/>
    <mergeCell ref="D127:E127"/>
    <mergeCell ref="D130:E130"/>
    <mergeCell ref="F130:G130"/>
    <mergeCell ref="G118:I118"/>
    <mergeCell ref="A120:F120"/>
    <mergeCell ref="A121:F121"/>
    <mergeCell ref="G119:I119"/>
    <mergeCell ref="D128:E128"/>
    <mergeCell ref="A119:F119"/>
    <mergeCell ref="G120:I120"/>
    <mergeCell ref="G121:I121"/>
    <mergeCell ref="F127:I127"/>
    <mergeCell ref="A123:D123"/>
    <mergeCell ref="A73:A75"/>
    <mergeCell ref="A88:D88"/>
    <mergeCell ref="A89:D89"/>
    <mergeCell ref="A90:D90"/>
    <mergeCell ref="G77:I77"/>
    <mergeCell ref="G78:I78"/>
    <mergeCell ref="G83:I83"/>
    <mergeCell ref="D82:F82"/>
    <mergeCell ref="D83:F83"/>
    <mergeCell ref="G79:I79"/>
    <mergeCell ref="B73:B74"/>
    <mergeCell ref="C73:C74"/>
    <mergeCell ref="D55:I55"/>
    <mergeCell ref="E123:I123"/>
    <mergeCell ref="G111:I111"/>
    <mergeCell ref="A122:I122"/>
    <mergeCell ref="A117:I117"/>
    <mergeCell ref="A118:F118"/>
    <mergeCell ref="G58:I58"/>
    <mergeCell ref="G113:I113"/>
    <mergeCell ref="A1:G1"/>
    <mergeCell ref="A2:G2"/>
    <mergeCell ref="A6:G6"/>
    <mergeCell ref="A5:B5"/>
    <mergeCell ref="A8:A10"/>
    <mergeCell ref="B8:B10"/>
    <mergeCell ref="C8:C9"/>
    <mergeCell ref="D9:F9"/>
    <mergeCell ref="D10:F10"/>
    <mergeCell ref="G10:I10"/>
    <mergeCell ref="D8:I8"/>
    <mergeCell ref="G11:I11"/>
    <mergeCell ref="G12:I12"/>
    <mergeCell ref="G13:I13"/>
    <mergeCell ref="D45:F45"/>
    <mergeCell ref="D46:F46"/>
    <mergeCell ref="D19:F19"/>
    <mergeCell ref="D20:F20"/>
    <mergeCell ref="D21:F21"/>
    <mergeCell ref="D22:F22"/>
    <mergeCell ref="A110:F110"/>
    <mergeCell ref="A113:F113"/>
    <mergeCell ref="G116:I116"/>
    <mergeCell ref="G76:I76"/>
    <mergeCell ref="A55:A57"/>
    <mergeCell ref="B55:B56"/>
    <mergeCell ref="C55:C56"/>
    <mergeCell ref="G112:I112"/>
    <mergeCell ref="A116:F116"/>
    <mergeCell ref="D84:F84"/>
    <mergeCell ref="G16:I16"/>
    <mergeCell ref="G17:I17"/>
    <mergeCell ref="G18:I18"/>
    <mergeCell ref="G19:I19"/>
    <mergeCell ref="G110:I110"/>
    <mergeCell ref="G59:I59"/>
    <mergeCell ref="G60:I60"/>
    <mergeCell ref="G61:I61"/>
    <mergeCell ref="G62:I62"/>
    <mergeCell ref="G64:I64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32:I32"/>
    <mergeCell ref="G33:I33"/>
    <mergeCell ref="G34:I34"/>
    <mergeCell ref="G35:I35"/>
    <mergeCell ref="G36:I36"/>
    <mergeCell ref="G37:I37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53:I53"/>
    <mergeCell ref="D12:F12"/>
    <mergeCell ref="D11:F11"/>
    <mergeCell ref="D13:F13"/>
    <mergeCell ref="D16:F16"/>
    <mergeCell ref="D17:F17"/>
    <mergeCell ref="D18:F18"/>
    <mergeCell ref="G44:I44"/>
    <mergeCell ref="G45:I45"/>
    <mergeCell ref="D25:F25"/>
    <mergeCell ref="G9:I9"/>
    <mergeCell ref="D14:F14"/>
    <mergeCell ref="D15:F15"/>
    <mergeCell ref="G14:I14"/>
    <mergeCell ref="G15:I15"/>
    <mergeCell ref="D27:F27"/>
    <mergeCell ref="D23:F23"/>
    <mergeCell ref="D24:F24"/>
    <mergeCell ref="G26:I26"/>
    <mergeCell ref="G27:I27"/>
    <mergeCell ref="D26:F26"/>
    <mergeCell ref="D30:F30"/>
    <mergeCell ref="D31:F31"/>
    <mergeCell ref="D32:F32"/>
    <mergeCell ref="D39:F39"/>
    <mergeCell ref="D28:F28"/>
    <mergeCell ref="D29:F29"/>
    <mergeCell ref="D35:F35"/>
    <mergeCell ref="D36:F36"/>
    <mergeCell ref="D40:F40"/>
    <mergeCell ref="D41:F41"/>
    <mergeCell ref="D33:F33"/>
    <mergeCell ref="D34:F34"/>
    <mergeCell ref="D42:F42"/>
    <mergeCell ref="D43:F43"/>
    <mergeCell ref="D37:F37"/>
    <mergeCell ref="D38:F38"/>
    <mergeCell ref="D44:F44"/>
    <mergeCell ref="G87:I87"/>
    <mergeCell ref="D76:F76"/>
    <mergeCell ref="D77:F77"/>
    <mergeCell ref="D78:F78"/>
    <mergeCell ref="D79:F79"/>
    <mergeCell ref="D80:F80"/>
    <mergeCell ref="D81:F81"/>
    <mergeCell ref="G50:I50"/>
    <mergeCell ref="G51:I51"/>
    <mergeCell ref="D85:F85"/>
    <mergeCell ref="D86:F86"/>
    <mergeCell ref="D87:F87"/>
    <mergeCell ref="E95:I95"/>
    <mergeCell ref="E94:I94"/>
    <mergeCell ref="G86:I86"/>
    <mergeCell ref="A91:D91"/>
    <mergeCell ref="A92:B92"/>
  </mergeCells>
  <printOptions horizontalCentered="1"/>
  <pageMargins left="0.31496062992125984" right="0.31496062992125984" top="0.2362204724409449" bottom="0.15748031496062992" header="0.1968503937007874" footer="0.1968503937007874"/>
  <pageSetup fitToHeight="3" fitToWidth="3" horizontalDpi="600" verticalDpi="600" orientation="portrait" paperSize="9" scale="55" r:id="rId2"/>
  <rowBreaks count="2" manualBreakCount="2">
    <brk id="87" max="255" man="1"/>
    <brk id="172" max="255" man="1"/>
  </rowBreaks>
  <ignoredErrors>
    <ignoredError sqref="D12 C83:D83 C103:D103 C59" formula="1"/>
    <ignoredError sqref="G106 G171" evalError="1"/>
    <ignoredError sqref="B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Lutero</cp:lastModifiedBy>
  <cp:lastPrinted>2015-05-21T12:19:36Z</cp:lastPrinted>
  <dcterms:created xsi:type="dcterms:W3CDTF">2010-04-09T15:53:13Z</dcterms:created>
  <dcterms:modified xsi:type="dcterms:W3CDTF">2015-05-21T12:20:18Z</dcterms:modified>
  <cp:category/>
  <cp:version/>
  <cp:contentType/>
  <cp:contentStatus/>
</cp:coreProperties>
</file>