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450" windowHeight="8190" tabRatio="898" activeTab="5"/>
  </bookViews>
  <sheets>
    <sheet name="Anexo 1 _ BAL ORC" sheetId="1" r:id="rId1"/>
    <sheet name="Anexo 2 _ DP FUNC" sheetId="2" r:id="rId2"/>
    <sheet name="Anexo 3 _ RCL" sheetId="3" r:id="rId3"/>
    <sheet name="Anexo 4 _ PREVID " sheetId="4" r:id="rId4"/>
    <sheet name="Anexo 5 _ RES NOM" sheetId="5" r:id="rId5"/>
    <sheet name="Anexo 6 _ RES PRIM" sheetId="6" r:id="rId6"/>
    <sheet name="Anexo XII_PROJ AT REG GERAL HIP" sheetId="7" state="hidden" r:id="rId7"/>
    <sheet name="Anexo 7 _  RP" sheetId="8" r:id="rId8"/>
    <sheet name="Anexo 8 _ ENSINO" sheetId="9" r:id="rId9"/>
    <sheet name="Anexo 12 _ SAÚDE " sheetId="10" r:id="rId10"/>
    <sheet name="Anexo 13 _PPP" sheetId="11" r:id="rId11"/>
    <sheet name="Anexo 14 _ Simplificado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10Planilha_2TítCols_6_1" localSheetId="10">(#REF!,#REF!)</definedName>
    <definedName name="_10Planilha_2TítCols_6_1">(#REF!,#REF!)</definedName>
    <definedName name="_11Planilha_2TítLins_6_1" localSheetId="10">#REF!</definedName>
    <definedName name="_11Planilha_2TítLins_6_1">#REF!</definedName>
    <definedName name="_12Planilha_3ÁreaTotal_6_1" localSheetId="10">(#REF!,#REF!)</definedName>
    <definedName name="_12Planilha_3ÁreaTotal_6_1">(#REF!,#REF!)</definedName>
    <definedName name="_13Planilha_3CabGráfico_6_1" localSheetId="10">#REF!</definedName>
    <definedName name="_13Planilha_3CabGráfico_6_1">#REF!</definedName>
    <definedName name="_14Planilha_3TítCols_6_1" localSheetId="10">(#REF!,#REF!)</definedName>
    <definedName name="_14Planilha_3TítCols_6_1">(#REF!,#REF!)</definedName>
    <definedName name="_15Planilha_3TítLins_6_1" localSheetId="10">#REF!</definedName>
    <definedName name="_15Planilha_3TítLins_6_1">#REF!</definedName>
    <definedName name="_16Tabela_1___Déficit_da_Previdência_Social__RGPS_6_1" localSheetId="10">#REF!</definedName>
    <definedName name="_16Tabela_1___Déficit_da_Previdência_Social__RGPS_6_1">#REF!</definedName>
    <definedName name="_17Tabela_10___Resultado_Primário_do_Governo_Central_em_1999_6_1" localSheetId="10">#REF!</definedName>
    <definedName name="_17Tabela_10___Resultado_Primário_do_Governo_Central_em_1999_6_1">#REF!</definedName>
    <definedName name="_18Tabela_2___Contribuições_Previdenciárias_6_1" localSheetId="10">#REF!</definedName>
    <definedName name="_18Tabela_2___Contribuições_Previdenciárias_6_1">#REF!</definedName>
    <definedName name="_19Tabela_3___Benefícios__previsto_x_realizado_6_1" localSheetId="10">#REF!</definedName>
    <definedName name="_19Tabela_3___Benefícios__previsto_x_realizado_6_1">#REF!</definedName>
    <definedName name="_1Excel_BuiltIn_Print_Area_11_1" localSheetId="10">#REF!</definedName>
    <definedName name="_1Excel_BuiltIn_Print_Area_11_1">#REF!</definedName>
    <definedName name="_20Tabela_4___Receitas_Administradas_pela_SRF__previsto_x_realizado_6_1" localSheetId="10">#REF!</definedName>
    <definedName name="_20Tabela_4___Receitas_Administradas_pela_SRF__previsto_x_realizado_6_1">#REF!</definedName>
    <definedName name="_21Tabela_5___Receitas_Administradas_em_Agosto_6_1" localSheetId="10">#REF!</definedName>
    <definedName name="_21Tabela_5___Receitas_Administradas_em_Agosto_6_1">#REF!</definedName>
    <definedName name="_22Tabela_6___Receitas_Diretamente_Arrecadadas_6_1" localSheetId="10">#REF!</definedName>
    <definedName name="_22Tabela_6___Receitas_Diretamente_Arrecadadas_6_1">#REF!</definedName>
    <definedName name="_23Tabela_7___Déficit_da_Previdência_Social_em_1999_6_1" localSheetId="10">#REF!</definedName>
    <definedName name="_23Tabela_7___Déficit_da_Previdência_Social_em_1999_6_1">#REF!</definedName>
    <definedName name="_24Tabela_8___Receitas_Administradas__revisão_da_previsão_6_1" localSheetId="10">#REF!</definedName>
    <definedName name="_24Tabela_8___Receitas_Administradas__revisão_da_previsão_6_1">#REF!</definedName>
    <definedName name="_25Tabela_9___Resultado_Primário_de_1999_6_1" localSheetId="10">#REF!</definedName>
    <definedName name="_25Tabela_9___Resultado_Primário_de_1999_6_1">#REF!</definedName>
    <definedName name="_2Ganhos_e_perdas_de_receita_6_1" localSheetId="10">#REF!</definedName>
    <definedName name="_2Ganhos_e_perdas_de_receita_6_1">#REF!</definedName>
    <definedName name="_3Ganhos_e_Perdas_de_Receita_99_6_1" localSheetId="10">#REF!</definedName>
    <definedName name="_3Ganhos_e_Perdas_de_Receita_99_6_1">#REF!</definedName>
    <definedName name="_4Planilha_1ÁreaTotal_6_1" localSheetId="10">(#REF!,#REF!)</definedName>
    <definedName name="_4Planilha_1ÁreaTotal_6_1">(#REF!,#REF!)</definedName>
    <definedName name="_5Planilha_1CabGráfico_6_1" localSheetId="10">#REF!</definedName>
    <definedName name="_5Planilha_1CabGráfico_6_1">#REF!</definedName>
    <definedName name="_6Planilha_1TítCols_6_1" localSheetId="10">(#REF!,#REF!)</definedName>
    <definedName name="_6Planilha_1TítCols_6_1">(#REF!,#REF!)</definedName>
    <definedName name="_7Planilha_1TítLins_6_1" localSheetId="10">#REF!</definedName>
    <definedName name="_7Planilha_1TítLins_6_1">#REF!</definedName>
    <definedName name="_8Planilha_2ÁreaTotal_6_1" localSheetId="10">(#REF!,#REF!)</definedName>
    <definedName name="_8Planilha_2ÁreaTotal_6_1">(#REF!,#REF!)</definedName>
    <definedName name="_9Planilha_2CabGráfico_6_1" localSheetId="10">#REF!</definedName>
    <definedName name="_9Planilha_2CabGráfico_6_1">#REF!</definedName>
    <definedName name="_xlfn.BAHTTEXT" hidden="1">#NAME?</definedName>
    <definedName name="_xlnm.Print_Area" localSheetId="0">'Anexo 1 _ BAL ORC'!$A$1:$K$136</definedName>
    <definedName name="_xlnm.Print_Area" localSheetId="10">'Anexo 13 _PPP'!$A$1:$X$47</definedName>
    <definedName name="_xlnm.Print_Area" localSheetId="11">'Anexo 14 _ Simplificado'!$A$1:$E$138</definedName>
    <definedName name="_xlnm.Print_Area" localSheetId="1">'Anexo 2 _ DP FUNC'!$A$1:$M$151</definedName>
    <definedName name="_xlnm.Print_Area" localSheetId="2">'Anexo 3 _ RCL'!$A$1:$Q$47</definedName>
    <definedName name="_xlnm.Print_Area" localSheetId="3">'Anexo 4 _ PREVID '!$A$1:$J$150</definedName>
    <definedName name="_xlnm.Print_Area" localSheetId="4">'Anexo 5 _ RES NOM'!$A$1:$G$58</definedName>
    <definedName name="_xlnm.Print_Area" localSheetId="5">'Anexo 6 _ RES PRIM'!$A$1:$P$82</definedName>
    <definedName name="_xlnm.Print_Area" localSheetId="7">'Anexo 7 _  RP'!$A$1:$M$73</definedName>
    <definedName name="_xlnm.Print_Area" localSheetId="8">'Anexo 8 _ ENSINO'!$A$1:$I$211</definedName>
    <definedName name="Detalhes_do_Demonstrativo_MDE" localSheetId="10">#REF!</definedName>
    <definedName name="Detalhes_do_Demonstrativo_MDE">#REF!</definedName>
    <definedName name="Detalhes_do_Demonstrativo_MDE_10" localSheetId="10">#REF!</definedName>
    <definedName name="Detalhes_do_Demonstrativo_MDE_10" localSheetId="8">'Anexo 8 _ ENSINO'!#REF!</definedName>
    <definedName name="Detalhes_do_Demonstrativo_MDE_10">#REF!</definedName>
    <definedName name="Detalhes_do_Demonstrativo_MDE_11" localSheetId="10">'[2]Anexo X _ ENSINO'!#REF!</definedName>
    <definedName name="Detalhes_do_Demonstrativo_MDE_11" localSheetId="8">'[1]Anexo X _ ENSINO'!#REF!</definedName>
    <definedName name="Detalhes_do_Demonstrativo_MDE_11">'[2]Anexo X _ ENSINO'!#REF!</definedName>
    <definedName name="Detalhes_do_Demonstrativo_MDE_12" localSheetId="10">'[4]Anexo X _ ENSINO'!#REF!</definedName>
    <definedName name="Detalhes_do_Demonstrativo_MDE_12" localSheetId="8">'[3]Anexo X _ ENSINO'!#REF!</definedName>
    <definedName name="Detalhes_do_Demonstrativo_MDE_12">'[4]Anexo X _ ENSINO'!#REF!</definedName>
    <definedName name="Detalhes_do_Demonstrativo_MDE_13" localSheetId="10">'[2]Anexo X _ ENSINO'!#REF!</definedName>
    <definedName name="Detalhes_do_Demonstrativo_MDE_13" localSheetId="8">'[1]Anexo X _ ENSINO'!#REF!</definedName>
    <definedName name="Detalhes_do_Demonstrativo_MDE_13">'[2]Anexo X _ ENSINO'!#REF!</definedName>
    <definedName name="Detalhes_do_Demonstrativo_MDE_14" localSheetId="10">'[6]Anexo X _ ENSINO'!#REF!</definedName>
    <definedName name="Detalhes_do_Demonstrativo_MDE_14" localSheetId="8">'[5]Anexo X _ ENSINO'!#REF!</definedName>
    <definedName name="Detalhes_do_Demonstrativo_MDE_14">'[6]Anexo X _ ENSINO'!#REF!</definedName>
    <definedName name="Detalhes_do_Demonstrativo_MDE_15" localSheetId="10">'[8]Anexo X _ ENSINO'!#REF!</definedName>
    <definedName name="Detalhes_do_Demonstrativo_MDE_15" localSheetId="8">'[7]Anexo X _ ENSINO'!#REF!</definedName>
    <definedName name="Detalhes_do_Demonstrativo_MDE_15">'[8]Anexo X _ ENSINO'!#REF!</definedName>
    <definedName name="Detalhes_do_Demonstrativo_MDE_3" localSheetId="10">#REF!</definedName>
    <definedName name="Detalhes_do_Demonstrativo_MDE_3">#REF!</definedName>
    <definedName name="Detalhes_do_Demonstrativo_MDE_4" localSheetId="10">'[10]Anexo X _ ENSINO'!#REF!</definedName>
    <definedName name="Detalhes_do_Demonstrativo_MDE_4" localSheetId="8">'[9]Anexo X _ ENSINO'!#REF!</definedName>
    <definedName name="Detalhes_do_Demonstrativo_MDE_4">'[10]Anexo X _ ENSINO'!#REF!</definedName>
    <definedName name="Detalhes_do_Demonstrativo_MDE_7" localSheetId="10">'[8]Anexo X _ ENSINO'!#REF!</definedName>
    <definedName name="Detalhes_do_Demonstrativo_MDE_7" localSheetId="8">'[7]Anexo X _ ENSINO'!#REF!</definedName>
    <definedName name="Detalhes_do_Demonstrativo_MDE_7">'[8]Anexo X _ ENSINO'!#REF!</definedName>
    <definedName name="Detalhes_do_Demonstrativo_MDE_8" localSheetId="10">'[8]Anexo X _ ENSINO'!#REF!</definedName>
    <definedName name="Detalhes_do_Demonstrativo_MDE_8" localSheetId="8">'[7]Anexo X _ ENSINO'!#REF!</definedName>
    <definedName name="Detalhes_do_Demonstrativo_MDE_8">'[8]Anexo X _ ENSINO'!#REF!</definedName>
    <definedName name="Detalhes_do_Demonstrativo_MDE_9" localSheetId="10">'[8]Anexo X _ ENSINO'!#REF!</definedName>
    <definedName name="Detalhes_do_Demonstrativo_MDE_9" localSheetId="8">'[7]Anexo X _ ENSINO'!#REF!</definedName>
    <definedName name="Detalhes_do_Demonstrativo_MDE_9">'[8]Anexo X _ ENSINO'!#REF!</definedName>
    <definedName name="Excel_BuiltIn_Print_Area_12" localSheetId="10">#REF!</definedName>
    <definedName name="Excel_BuiltIn_Print_Area_12">#REF!</definedName>
    <definedName name="Excel_BuiltIn_Print_Area_13" localSheetId="10">#REF!</definedName>
    <definedName name="Excel_BuiltIn_Print_Area_13">#REF!</definedName>
    <definedName name="Excel_BuiltIn_Print_Area_7" localSheetId="10">#REF!</definedName>
    <definedName name="Excel_BuiltIn_Print_Area_7">#REF!</definedName>
    <definedName name="Ganhos_e_perdas_de_receita" localSheetId="10">#REF!</definedName>
    <definedName name="Ganhos_e_perdas_de_receita">#REF!</definedName>
    <definedName name="Ganhos_e_perdas_de_receita_11" localSheetId="10">#REF!</definedName>
    <definedName name="Ganhos_e_perdas_de_receita_11">#REF!</definedName>
    <definedName name="Ganhos_e_perdas_de_receita_12" localSheetId="10">#REF!</definedName>
    <definedName name="Ganhos_e_perdas_de_receita_12">#REF!</definedName>
    <definedName name="Ganhos_e_perdas_de_receita_13" localSheetId="10">#REF!</definedName>
    <definedName name="Ganhos_e_perdas_de_receita_13">#REF!</definedName>
    <definedName name="Ganhos_e_perdas_de_receita_14" localSheetId="10">#REF!</definedName>
    <definedName name="Ganhos_e_perdas_de_receita_14">#REF!</definedName>
    <definedName name="Ganhos_e_perdas_de_receita_2" localSheetId="10">#REF!</definedName>
    <definedName name="Ganhos_e_perdas_de_receita_2">#REF!</definedName>
    <definedName name="Ganhos_e_perdas_de_receita_4" localSheetId="10">#REF!</definedName>
    <definedName name="Ganhos_e_perdas_de_receita_4">#REF!</definedName>
    <definedName name="Ganhos_e_perdas_de_receita_6" localSheetId="10">#REF!</definedName>
    <definedName name="Ganhos_e_perdas_de_receita_6">#REF!</definedName>
    <definedName name="Ganhos_e_perdas_de_receita_8" localSheetId="10">#REF!</definedName>
    <definedName name="Ganhos_e_perdas_de_receita_8">#REF!</definedName>
    <definedName name="Ganhos_e_Perdas_de_Receita_99" localSheetId="10">#REF!</definedName>
    <definedName name="Ganhos_e_Perdas_de_Receita_99">#REF!</definedName>
    <definedName name="Ganhos_e_Perdas_de_Receita_99_11" localSheetId="10">#REF!</definedName>
    <definedName name="Ganhos_e_Perdas_de_Receita_99_11">#REF!</definedName>
    <definedName name="Ganhos_e_Perdas_de_Receita_99_12" localSheetId="10">#REF!</definedName>
    <definedName name="Ganhos_e_Perdas_de_Receita_99_12">#REF!</definedName>
    <definedName name="Ganhos_e_Perdas_de_Receita_99_13" localSheetId="10">#REF!</definedName>
    <definedName name="Ganhos_e_Perdas_de_Receita_99_13">#REF!</definedName>
    <definedName name="Ganhos_e_Perdas_de_Receita_99_14" localSheetId="10">#REF!</definedName>
    <definedName name="Ganhos_e_Perdas_de_Receita_99_14">#REF!</definedName>
    <definedName name="Ganhos_e_Perdas_de_Receita_99_2" localSheetId="10">#REF!</definedName>
    <definedName name="Ganhos_e_Perdas_de_Receita_99_2">#REF!</definedName>
    <definedName name="Ganhos_e_Perdas_de_Receita_99_4" localSheetId="10">#REF!</definedName>
    <definedName name="Ganhos_e_Perdas_de_Receita_99_4">#REF!</definedName>
    <definedName name="Ganhos_e_Perdas_de_Receita_99_6" localSheetId="10">#REF!</definedName>
    <definedName name="Ganhos_e_Perdas_de_Receita_99_6">#REF!</definedName>
    <definedName name="Ganhos_e_Perdas_de_Receita_99_8" localSheetId="10">#REF!</definedName>
    <definedName name="Ganhos_e_Perdas_de_Receita_99_8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10">(#REF!,#REF!)</definedName>
    <definedName name="Planilha_1ÁreaTotal">(#REF!,#REF!)</definedName>
    <definedName name="Planilha_1ÁreaTotal_11" localSheetId="10">(#REF!,#REF!)</definedName>
    <definedName name="Planilha_1ÁreaTotal_11">(#REF!,#REF!)</definedName>
    <definedName name="Planilha_1ÁreaTotal_12" localSheetId="10">(#REF!,#REF!)</definedName>
    <definedName name="Planilha_1ÁreaTotal_12">(#REF!,#REF!)</definedName>
    <definedName name="Planilha_1ÁreaTotal_13" localSheetId="10">(#REF!,#REF!)</definedName>
    <definedName name="Planilha_1ÁreaTotal_13">(#REF!,#REF!)</definedName>
    <definedName name="Planilha_1ÁreaTotal_14" localSheetId="10">(#REF!,#REF!)</definedName>
    <definedName name="Planilha_1ÁreaTotal_14">(#REF!,#REF!)</definedName>
    <definedName name="Planilha_1ÁreaTotal_2" localSheetId="10">(#REF!,#REF!)</definedName>
    <definedName name="Planilha_1ÁreaTotal_2">(#REF!,#REF!)</definedName>
    <definedName name="Planilha_1ÁreaTotal_4" localSheetId="10">(#REF!,#REF!)</definedName>
    <definedName name="Planilha_1ÁreaTotal_4">(#REF!,#REF!)</definedName>
    <definedName name="Planilha_1ÁreaTotal_6" localSheetId="10">#REF!,#REF!</definedName>
    <definedName name="Planilha_1ÁreaTotal_6">#REF!,#REF!</definedName>
    <definedName name="Planilha_1ÁreaTotal_7" localSheetId="10">(#REF!,#REF!)</definedName>
    <definedName name="Planilha_1ÁreaTotal_7">(#REF!,#REF!)</definedName>
    <definedName name="Planilha_1ÁreaTotal_8" localSheetId="10">#REF!,#REF!</definedName>
    <definedName name="Planilha_1ÁreaTotal_8" localSheetId="8">'[11]Anexo IX _ RP'!#REF!,'[11]Anexo IX _ RP'!#REF!</definedName>
    <definedName name="Planilha_1ÁreaTotal_8">#REF!,#REF!</definedName>
    <definedName name="Planilha_1ÁreaTotal_9" localSheetId="10">(#REF!,#REF!)</definedName>
    <definedName name="Planilha_1ÁreaTotal_9">(#REF!,#REF!)</definedName>
    <definedName name="Planilha_1CabGráfico" localSheetId="10">#REF!</definedName>
    <definedName name="Planilha_1CabGráfico">#REF!</definedName>
    <definedName name="Planilha_1CabGráfico_11" localSheetId="10">#REF!</definedName>
    <definedName name="Planilha_1CabGráfico_11">#REF!</definedName>
    <definedName name="Planilha_1CabGráfico_12" localSheetId="10">#REF!</definedName>
    <definedName name="Planilha_1CabGráfico_12">#REF!</definedName>
    <definedName name="Planilha_1CabGráfico_13" localSheetId="10">#REF!</definedName>
    <definedName name="Planilha_1CabGráfico_13">#REF!</definedName>
    <definedName name="Planilha_1CabGráfico_14" localSheetId="10">#REF!</definedName>
    <definedName name="Planilha_1CabGráfico_14">#REF!</definedName>
    <definedName name="Planilha_1CabGráfico_2" localSheetId="10">#REF!</definedName>
    <definedName name="Planilha_1CabGráfico_2">#REF!</definedName>
    <definedName name="Planilha_1CabGráfico_4" localSheetId="10">#REF!</definedName>
    <definedName name="Planilha_1CabGráfico_4">#REF!</definedName>
    <definedName name="Planilha_1CabGráfico_6" localSheetId="10">#REF!</definedName>
    <definedName name="Planilha_1CabGráfico_6">#REF!</definedName>
    <definedName name="Planilha_1CabGráfico_7" localSheetId="10">#REF!</definedName>
    <definedName name="Planilha_1CabGráfico_7">#REF!</definedName>
    <definedName name="Planilha_1CabGráfico_8" localSheetId="10">#REF!</definedName>
    <definedName name="Planilha_1CabGráfico_8" localSheetId="8">'[11]Anexo IX _ RP'!#REF!</definedName>
    <definedName name="Planilha_1CabGráfico_8">#REF!</definedName>
    <definedName name="Planilha_1CabGráfico_9" localSheetId="10">#REF!</definedName>
    <definedName name="Planilha_1CabGráfico_9">#REF!</definedName>
    <definedName name="Planilha_1TítCols" localSheetId="10">(#REF!,#REF!)</definedName>
    <definedName name="Planilha_1TítCols">(#REF!,#REF!)</definedName>
    <definedName name="Planilha_1TítCols_11" localSheetId="10">(#REF!,#REF!)</definedName>
    <definedName name="Planilha_1TítCols_11">(#REF!,#REF!)</definedName>
    <definedName name="Planilha_1TítCols_12" localSheetId="10">(#REF!,#REF!)</definedName>
    <definedName name="Planilha_1TítCols_12">(#REF!,#REF!)</definedName>
    <definedName name="Planilha_1TítCols_13" localSheetId="10">(#REF!,#REF!)</definedName>
    <definedName name="Planilha_1TítCols_13">(#REF!,#REF!)</definedName>
    <definedName name="Planilha_1TítCols_14" localSheetId="10">(#REF!,#REF!)</definedName>
    <definedName name="Planilha_1TítCols_14">(#REF!,#REF!)</definedName>
    <definedName name="Planilha_1TítCols_2" localSheetId="10">(#REF!,#REF!)</definedName>
    <definedName name="Planilha_1TítCols_2">(#REF!,#REF!)</definedName>
    <definedName name="Planilha_1TítCols_4" localSheetId="10">(#REF!,#REF!)</definedName>
    <definedName name="Planilha_1TítCols_4">(#REF!,#REF!)</definedName>
    <definedName name="Planilha_1TítCols_6" localSheetId="10">#REF!,#REF!</definedName>
    <definedName name="Planilha_1TítCols_6">#REF!,#REF!</definedName>
    <definedName name="Planilha_1TítCols_7" localSheetId="10">(#REF!,#REF!)</definedName>
    <definedName name="Planilha_1TítCols_7">(#REF!,#REF!)</definedName>
    <definedName name="Planilha_1TítCols_8" localSheetId="10">#REF!,#REF!</definedName>
    <definedName name="Planilha_1TítCols_8" localSheetId="8">'[11]Anexo IX _ RP'!#REF!,'[11]Anexo IX _ RP'!#REF!</definedName>
    <definedName name="Planilha_1TítCols_8">#REF!,#REF!</definedName>
    <definedName name="Planilha_1TítCols_9" localSheetId="10">(#REF!,#REF!)</definedName>
    <definedName name="Planilha_1TítCols_9">(#REF!,#REF!)</definedName>
    <definedName name="Planilha_1TítLins" localSheetId="10">#REF!</definedName>
    <definedName name="Planilha_1TítLins">#REF!</definedName>
    <definedName name="Planilha_1TítLins_11" localSheetId="10">#REF!</definedName>
    <definedName name="Planilha_1TítLins_11">#REF!</definedName>
    <definedName name="Planilha_1TítLins_12" localSheetId="10">#REF!</definedName>
    <definedName name="Planilha_1TítLins_12">#REF!</definedName>
    <definedName name="Planilha_1TítLins_13" localSheetId="10">#REF!</definedName>
    <definedName name="Planilha_1TítLins_13">#REF!</definedName>
    <definedName name="Planilha_1TítLins_14" localSheetId="10">#REF!</definedName>
    <definedName name="Planilha_1TítLins_14">#REF!</definedName>
    <definedName name="Planilha_1TítLins_2" localSheetId="10">#REF!</definedName>
    <definedName name="Planilha_1TítLins_2">#REF!</definedName>
    <definedName name="Planilha_1TítLins_4" localSheetId="10">#REF!</definedName>
    <definedName name="Planilha_1TítLins_4">#REF!</definedName>
    <definedName name="Planilha_1TítLins_6" localSheetId="10">#REF!</definedName>
    <definedName name="Planilha_1TítLins_6">#REF!</definedName>
    <definedName name="Planilha_1TítLins_7" localSheetId="10">#REF!</definedName>
    <definedName name="Planilha_1TítLins_7">#REF!</definedName>
    <definedName name="Planilha_1TítLins_8" localSheetId="10">#REF!</definedName>
    <definedName name="Planilha_1TítLins_8" localSheetId="8">'[11]Anexo IX _ RP'!#REF!</definedName>
    <definedName name="Planilha_1TítLins_8">#REF!</definedName>
    <definedName name="Planilha_1TítLins_9" localSheetId="10">#REF!</definedName>
    <definedName name="Planilha_1TítLins_9">#REF!</definedName>
    <definedName name="Planilha_2ÁreaTotal" localSheetId="10">(#REF!,#REF!)</definedName>
    <definedName name="Planilha_2ÁreaTotal">(#REF!,#REF!)</definedName>
    <definedName name="Planilha_2ÁreaTotal_11" localSheetId="10">(#REF!,#REF!)</definedName>
    <definedName name="Planilha_2ÁreaTotal_11">(#REF!,#REF!)</definedName>
    <definedName name="Planilha_2ÁreaTotal_12" localSheetId="10">(#REF!,#REF!)</definedName>
    <definedName name="Planilha_2ÁreaTotal_12">(#REF!,#REF!)</definedName>
    <definedName name="Planilha_2ÁreaTotal_13" localSheetId="10">(#REF!,#REF!)</definedName>
    <definedName name="Planilha_2ÁreaTotal_13">(#REF!,#REF!)</definedName>
    <definedName name="Planilha_2ÁreaTotal_14" localSheetId="10">(#REF!,#REF!)</definedName>
    <definedName name="Planilha_2ÁreaTotal_14">(#REF!,#REF!)</definedName>
    <definedName name="Planilha_2ÁreaTotal_2" localSheetId="10">(#REF!,#REF!)</definedName>
    <definedName name="Planilha_2ÁreaTotal_2">(#REF!,#REF!)</definedName>
    <definedName name="Planilha_2ÁreaTotal_4" localSheetId="10">(#REF!,#REF!)</definedName>
    <definedName name="Planilha_2ÁreaTotal_4">(#REF!,#REF!)</definedName>
    <definedName name="Planilha_2ÁreaTotal_6" localSheetId="10">#REF!,#REF!</definedName>
    <definedName name="Planilha_2ÁreaTotal_6">#REF!,#REF!</definedName>
    <definedName name="Planilha_2ÁreaTotal_8" localSheetId="10">#REF!,#REF!</definedName>
    <definedName name="Planilha_2ÁreaTotal_8">#REF!,#REF!</definedName>
    <definedName name="Planilha_2CabGráfico" localSheetId="10">#REF!</definedName>
    <definedName name="Planilha_2CabGráfico">#REF!</definedName>
    <definedName name="Planilha_2CabGráfico_11" localSheetId="10">#REF!</definedName>
    <definedName name="Planilha_2CabGráfico_11">#REF!</definedName>
    <definedName name="Planilha_2CabGráfico_12" localSheetId="10">#REF!</definedName>
    <definedName name="Planilha_2CabGráfico_12">#REF!</definedName>
    <definedName name="Planilha_2CabGráfico_13" localSheetId="10">#REF!</definedName>
    <definedName name="Planilha_2CabGráfico_13">#REF!</definedName>
    <definedName name="Planilha_2CabGráfico_14" localSheetId="10">#REF!</definedName>
    <definedName name="Planilha_2CabGráfico_14">#REF!</definedName>
    <definedName name="Planilha_2CabGráfico_2" localSheetId="10">#REF!</definedName>
    <definedName name="Planilha_2CabGráfico_2">#REF!</definedName>
    <definedName name="Planilha_2CabGráfico_4" localSheetId="10">#REF!</definedName>
    <definedName name="Planilha_2CabGráfico_4">#REF!</definedName>
    <definedName name="Planilha_2CabGráfico_6" localSheetId="10">#REF!</definedName>
    <definedName name="Planilha_2CabGráfico_6">#REF!</definedName>
    <definedName name="Planilha_2CabGráfico_8" localSheetId="10">#REF!</definedName>
    <definedName name="Planilha_2CabGráfico_8">#REF!</definedName>
    <definedName name="Planilha_2TítCols" localSheetId="10">(#REF!,#REF!)</definedName>
    <definedName name="Planilha_2TítCols">(#REF!,#REF!)</definedName>
    <definedName name="Planilha_2TítCols_11" localSheetId="10">(#REF!,#REF!)</definedName>
    <definedName name="Planilha_2TítCols_11">(#REF!,#REF!)</definedName>
    <definedName name="Planilha_2TítCols_12" localSheetId="10">(#REF!,#REF!)</definedName>
    <definedName name="Planilha_2TítCols_12">(#REF!,#REF!)</definedName>
    <definedName name="Planilha_2TítCols_13" localSheetId="10">(#REF!,#REF!)</definedName>
    <definedName name="Planilha_2TítCols_13">(#REF!,#REF!)</definedName>
    <definedName name="Planilha_2TítCols_14" localSheetId="10">(#REF!,#REF!)</definedName>
    <definedName name="Planilha_2TítCols_14">(#REF!,#REF!)</definedName>
    <definedName name="Planilha_2TítCols_2" localSheetId="10">(#REF!,#REF!)</definedName>
    <definedName name="Planilha_2TítCols_2">(#REF!,#REF!)</definedName>
    <definedName name="Planilha_2TítCols_4" localSheetId="10">(#REF!,#REF!)</definedName>
    <definedName name="Planilha_2TítCols_4">(#REF!,#REF!)</definedName>
    <definedName name="Planilha_2TítCols_6" localSheetId="10">#REF!,#REF!</definedName>
    <definedName name="Planilha_2TítCols_6">#REF!,#REF!</definedName>
    <definedName name="Planilha_2TítCols_8" localSheetId="10">#REF!,#REF!</definedName>
    <definedName name="Planilha_2TítCols_8">#REF!,#REF!</definedName>
    <definedName name="Planilha_2TítLins" localSheetId="10">#REF!</definedName>
    <definedName name="Planilha_2TítLins">#REF!</definedName>
    <definedName name="Planilha_2TítLins_11" localSheetId="10">#REF!</definedName>
    <definedName name="Planilha_2TítLins_11">#REF!</definedName>
    <definedName name="Planilha_2TítLins_12" localSheetId="10">#REF!</definedName>
    <definedName name="Planilha_2TítLins_12">#REF!</definedName>
    <definedName name="Planilha_2TítLins_13" localSheetId="10">#REF!</definedName>
    <definedName name="Planilha_2TítLins_13">#REF!</definedName>
    <definedName name="Planilha_2TítLins_14" localSheetId="10">#REF!</definedName>
    <definedName name="Planilha_2TítLins_14">#REF!</definedName>
    <definedName name="Planilha_2TítLins_2" localSheetId="10">#REF!</definedName>
    <definedName name="Planilha_2TítLins_2">#REF!</definedName>
    <definedName name="Planilha_2TítLins_4" localSheetId="10">#REF!</definedName>
    <definedName name="Planilha_2TítLins_4">#REF!</definedName>
    <definedName name="Planilha_2TítLins_6" localSheetId="10">#REF!</definedName>
    <definedName name="Planilha_2TítLins_6">#REF!</definedName>
    <definedName name="Planilha_2TítLins_8" localSheetId="10">#REF!</definedName>
    <definedName name="Planilha_2TítLins_8">#REF!</definedName>
    <definedName name="Planilha_3ÁreaTotal" localSheetId="10">(#REF!,#REF!)</definedName>
    <definedName name="Planilha_3ÁreaTotal">(#REF!,#REF!)</definedName>
    <definedName name="Planilha_3ÁreaTotal_11" localSheetId="10">(#REF!,#REF!)</definedName>
    <definedName name="Planilha_3ÁreaTotal_11">(#REF!,#REF!)</definedName>
    <definedName name="Planilha_3ÁreaTotal_12" localSheetId="10">(#REF!,#REF!)</definedName>
    <definedName name="Planilha_3ÁreaTotal_12">(#REF!,#REF!)</definedName>
    <definedName name="Planilha_3ÁreaTotal_13" localSheetId="10">(#REF!,#REF!)</definedName>
    <definedName name="Planilha_3ÁreaTotal_13">(#REF!,#REF!)</definedName>
    <definedName name="Planilha_3ÁreaTotal_14" localSheetId="10">(#REF!,#REF!)</definedName>
    <definedName name="Planilha_3ÁreaTotal_14">(#REF!,#REF!)</definedName>
    <definedName name="Planilha_3ÁreaTotal_2" localSheetId="10">(#REF!,#REF!)</definedName>
    <definedName name="Planilha_3ÁreaTotal_2">(#REF!,#REF!)</definedName>
    <definedName name="Planilha_3ÁreaTotal_4" localSheetId="10">(#REF!,#REF!)</definedName>
    <definedName name="Planilha_3ÁreaTotal_4">(#REF!,#REF!)</definedName>
    <definedName name="Planilha_3ÁreaTotal_6" localSheetId="10">#REF!,#REF!</definedName>
    <definedName name="Planilha_3ÁreaTotal_6">#REF!,#REF!</definedName>
    <definedName name="Planilha_3ÁreaTotal_8" localSheetId="10">#REF!,#REF!</definedName>
    <definedName name="Planilha_3ÁreaTotal_8">#REF!,#REF!</definedName>
    <definedName name="Planilha_3CabGráfico" localSheetId="10">#REF!</definedName>
    <definedName name="Planilha_3CabGráfico">#REF!</definedName>
    <definedName name="Planilha_3CabGráfico_11" localSheetId="10">#REF!</definedName>
    <definedName name="Planilha_3CabGráfico_11">#REF!</definedName>
    <definedName name="Planilha_3CabGráfico_12" localSheetId="10">#REF!</definedName>
    <definedName name="Planilha_3CabGráfico_12">#REF!</definedName>
    <definedName name="Planilha_3CabGráfico_13" localSheetId="10">#REF!</definedName>
    <definedName name="Planilha_3CabGráfico_13">#REF!</definedName>
    <definedName name="Planilha_3CabGráfico_14" localSheetId="10">#REF!</definedName>
    <definedName name="Planilha_3CabGráfico_14">#REF!</definedName>
    <definedName name="Planilha_3CabGráfico_2" localSheetId="10">#REF!</definedName>
    <definedName name="Planilha_3CabGráfico_2">#REF!</definedName>
    <definedName name="Planilha_3CabGráfico_4" localSheetId="10">#REF!</definedName>
    <definedName name="Planilha_3CabGráfico_4">#REF!</definedName>
    <definedName name="Planilha_3CabGráfico_6" localSheetId="10">#REF!</definedName>
    <definedName name="Planilha_3CabGráfico_6">#REF!</definedName>
    <definedName name="Planilha_3CabGráfico_8" localSheetId="10">#REF!</definedName>
    <definedName name="Planilha_3CabGráfico_8">#REF!</definedName>
    <definedName name="Planilha_3TítCols" localSheetId="10">(#REF!,#REF!)</definedName>
    <definedName name="Planilha_3TítCols">(#REF!,#REF!)</definedName>
    <definedName name="Planilha_3TítCols_11" localSheetId="10">(#REF!,#REF!)</definedName>
    <definedName name="Planilha_3TítCols_11">(#REF!,#REF!)</definedName>
    <definedName name="Planilha_3TítCols_12" localSheetId="10">(#REF!,#REF!)</definedName>
    <definedName name="Planilha_3TítCols_12">(#REF!,#REF!)</definedName>
    <definedName name="Planilha_3TítCols_13" localSheetId="10">(#REF!,#REF!)</definedName>
    <definedName name="Planilha_3TítCols_13">(#REF!,#REF!)</definedName>
    <definedName name="Planilha_3TítCols_14" localSheetId="10">(#REF!,#REF!)</definedName>
    <definedName name="Planilha_3TítCols_14">(#REF!,#REF!)</definedName>
    <definedName name="Planilha_3TítCols_2" localSheetId="10">(#REF!,#REF!)</definedName>
    <definedName name="Planilha_3TítCols_2">(#REF!,#REF!)</definedName>
    <definedName name="Planilha_3TítCols_4" localSheetId="10">(#REF!,#REF!)</definedName>
    <definedName name="Planilha_3TítCols_4">(#REF!,#REF!)</definedName>
    <definedName name="Planilha_3TítCols_6" localSheetId="10">#REF!,#REF!</definedName>
    <definedName name="Planilha_3TítCols_6">#REF!,#REF!</definedName>
    <definedName name="Planilha_3TítCols_8" localSheetId="10">#REF!,#REF!</definedName>
    <definedName name="Planilha_3TítCols_8">#REF!,#REF!</definedName>
    <definedName name="Planilha_3TítLins" localSheetId="10">#REF!</definedName>
    <definedName name="Planilha_3TítLins">#REF!</definedName>
    <definedName name="Planilha_3TítLins_11" localSheetId="10">#REF!</definedName>
    <definedName name="Planilha_3TítLins_11">#REF!</definedName>
    <definedName name="Planilha_3TítLins_12" localSheetId="10">#REF!</definedName>
    <definedName name="Planilha_3TítLins_12">#REF!</definedName>
    <definedName name="Planilha_3TítLins_13" localSheetId="10">#REF!</definedName>
    <definedName name="Planilha_3TítLins_13">#REF!</definedName>
    <definedName name="Planilha_3TítLins_14" localSheetId="10">#REF!</definedName>
    <definedName name="Planilha_3TítLins_14">#REF!</definedName>
    <definedName name="Planilha_3TítLins_2" localSheetId="10">#REF!</definedName>
    <definedName name="Planilha_3TítLins_2">#REF!</definedName>
    <definedName name="Planilha_3TítLins_4" localSheetId="10">#REF!</definedName>
    <definedName name="Planilha_3TítLins_4">#REF!</definedName>
    <definedName name="Planilha_3TítLins_6" localSheetId="10">#REF!</definedName>
    <definedName name="Planilha_3TítLins_6">#REF!</definedName>
    <definedName name="Planilha_3TítLins_8" localSheetId="10">#REF!</definedName>
    <definedName name="Planilha_3TítLins_8">#REF!</definedName>
    <definedName name="Planilha_4ÁreaTotal" localSheetId="10">(#REF!,#REF!)</definedName>
    <definedName name="Planilha_4ÁreaTotal">(#REF!,#REF!)</definedName>
    <definedName name="Planilha_4ÁreaTotal_6" localSheetId="10">#REF!,#REF!</definedName>
    <definedName name="Planilha_4ÁreaTotal_6">#REF!,#REF!</definedName>
    <definedName name="Planilha_4ÁreaTotal_8" localSheetId="10">#REF!,#REF!</definedName>
    <definedName name="Planilha_4ÁreaTotal_8">#REF!,#REF!</definedName>
    <definedName name="Planilha_4TítCols" localSheetId="10">(#REF!,#REF!)</definedName>
    <definedName name="Planilha_4TítCols">(#REF!,#REF!)</definedName>
    <definedName name="Planilha_4TítCols_6" localSheetId="10">#REF!,#REF!</definedName>
    <definedName name="Planilha_4TítCols_6">#REF!,#REF!</definedName>
    <definedName name="Planilha_4TítCols_8" localSheetId="10">#REF!,#REF!</definedName>
    <definedName name="Planilha_4TítCols_8">#REF!,#REF!</definedName>
    <definedName name="Tabela_1___Déficit_da_Previdência_Social__RGPS" localSheetId="10">#REF!</definedName>
    <definedName name="Tabela_1___Déficit_da_Previdência_Social__RGPS">#REF!</definedName>
    <definedName name="Tabela_1___Déficit_da_Previdência_Social__RGPS_11" localSheetId="10">#REF!</definedName>
    <definedName name="Tabela_1___Déficit_da_Previdência_Social__RGPS_11">#REF!</definedName>
    <definedName name="Tabela_1___Déficit_da_Previdência_Social__RGPS_12" localSheetId="10">#REF!</definedName>
    <definedName name="Tabela_1___Déficit_da_Previdência_Social__RGPS_12">#REF!</definedName>
    <definedName name="Tabela_1___Déficit_da_Previdência_Social__RGPS_13" localSheetId="10">#REF!</definedName>
    <definedName name="Tabela_1___Déficit_da_Previdência_Social__RGPS_13">#REF!</definedName>
    <definedName name="Tabela_1___Déficit_da_Previdência_Social__RGPS_14" localSheetId="10">#REF!</definedName>
    <definedName name="Tabela_1___Déficit_da_Previdência_Social__RGPS_14">#REF!</definedName>
    <definedName name="Tabela_1___Déficit_da_Previdência_Social__RGPS_2" localSheetId="10">#REF!</definedName>
    <definedName name="Tabela_1___Déficit_da_Previdência_Social__RGPS_2">#REF!</definedName>
    <definedName name="Tabela_1___Déficit_da_Previdência_Social__RGPS_4" localSheetId="10">#REF!</definedName>
    <definedName name="Tabela_1___Déficit_da_Previdência_Social__RGPS_4">#REF!</definedName>
    <definedName name="Tabela_1___Déficit_da_Previdência_Social__RGPS_6" localSheetId="10">#REF!</definedName>
    <definedName name="Tabela_1___Déficit_da_Previdência_Social__RGPS_6">#REF!</definedName>
    <definedName name="Tabela_1___Déficit_da_Previdência_Social__RGPS_8" localSheetId="10">#REF!</definedName>
    <definedName name="Tabela_1___Déficit_da_Previdência_Social__RGPS_8">#REF!</definedName>
    <definedName name="Tabela_10___Resultado_Primário_do_Governo_Central_em_1999" localSheetId="10">#REF!</definedName>
    <definedName name="Tabela_10___Resultado_Primário_do_Governo_Central_em_1999">#REF!</definedName>
    <definedName name="Tabela_10___Resultado_Primário_do_Governo_Central_em_1999_11" localSheetId="10">#REF!</definedName>
    <definedName name="Tabela_10___Resultado_Primário_do_Governo_Central_em_1999_11">#REF!</definedName>
    <definedName name="Tabela_10___Resultado_Primário_do_Governo_Central_em_1999_12" localSheetId="10">#REF!</definedName>
    <definedName name="Tabela_10___Resultado_Primário_do_Governo_Central_em_1999_12">#REF!</definedName>
    <definedName name="Tabela_10___Resultado_Primário_do_Governo_Central_em_1999_13" localSheetId="10">#REF!</definedName>
    <definedName name="Tabela_10___Resultado_Primário_do_Governo_Central_em_1999_13">#REF!</definedName>
    <definedName name="Tabela_10___Resultado_Primário_do_Governo_Central_em_1999_14" localSheetId="10">#REF!</definedName>
    <definedName name="Tabela_10___Resultado_Primário_do_Governo_Central_em_1999_14">#REF!</definedName>
    <definedName name="Tabela_10___Resultado_Primário_do_Governo_Central_em_1999_2" localSheetId="10">#REF!</definedName>
    <definedName name="Tabela_10___Resultado_Primário_do_Governo_Central_em_1999_2">#REF!</definedName>
    <definedName name="Tabela_10___Resultado_Primário_do_Governo_Central_em_1999_4" localSheetId="10">#REF!</definedName>
    <definedName name="Tabela_10___Resultado_Primário_do_Governo_Central_em_1999_4">#REF!</definedName>
    <definedName name="Tabela_10___Resultado_Primário_do_Governo_Central_em_1999_6" localSheetId="10">#REF!</definedName>
    <definedName name="Tabela_10___Resultado_Primário_do_Governo_Central_em_1999_6">#REF!</definedName>
    <definedName name="Tabela_10___Resultado_Primário_do_Governo_Central_em_1999_8" localSheetId="10">#REF!</definedName>
    <definedName name="Tabela_10___Resultado_Primário_do_Governo_Central_em_1999_8">#REF!</definedName>
    <definedName name="Tabela_2___Contribuições_Previdenciárias" localSheetId="10">#REF!</definedName>
    <definedName name="Tabela_2___Contribuições_Previdenciárias">#REF!</definedName>
    <definedName name="Tabela_2___Contribuições_Previdenciárias_11" localSheetId="10">#REF!</definedName>
    <definedName name="Tabela_2___Contribuições_Previdenciárias_11">#REF!</definedName>
    <definedName name="Tabela_2___Contribuições_Previdenciárias_12" localSheetId="10">#REF!</definedName>
    <definedName name="Tabela_2___Contribuições_Previdenciárias_12">#REF!</definedName>
    <definedName name="Tabela_2___Contribuições_Previdenciárias_13" localSheetId="10">#REF!</definedName>
    <definedName name="Tabela_2___Contribuições_Previdenciárias_13">#REF!</definedName>
    <definedName name="Tabela_2___Contribuições_Previdenciárias_14" localSheetId="10">#REF!</definedName>
    <definedName name="Tabela_2___Contribuições_Previdenciárias_14">#REF!</definedName>
    <definedName name="Tabela_2___Contribuições_Previdenciárias_2" localSheetId="10">#REF!</definedName>
    <definedName name="Tabela_2___Contribuições_Previdenciárias_2">#REF!</definedName>
    <definedName name="Tabela_2___Contribuições_Previdenciárias_4" localSheetId="10">#REF!</definedName>
    <definedName name="Tabela_2___Contribuições_Previdenciárias_4">#REF!</definedName>
    <definedName name="Tabela_2___Contribuições_Previdenciárias_6" localSheetId="10">#REF!</definedName>
    <definedName name="Tabela_2___Contribuições_Previdenciárias_6">#REF!</definedName>
    <definedName name="Tabela_2___Contribuições_Previdenciárias_8" localSheetId="10">#REF!</definedName>
    <definedName name="Tabela_2___Contribuições_Previdenciárias_8">#REF!</definedName>
    <definedName name="Tabela_3___Benefícios__previsto_x_realizado" localSheetId="10">#REF!</definedName>
    <definedName name="Tabela_3___Benefícios__previsto_x_realizado">#REF!</definedName>
    <definedName name="Tabela_3___Benefícios__previsto_x_realizado_11" localSheetId="10">#REF!</definedName>
    <definedName name="Tabela_3___Benefícios__previsto_x_realizado_11">#REF!</definedName>
    <definedName name="Tabela_3___Benefícios__previsto_x_realizado_12" localSheetId="10">#REF!</definedName>
    <definedName name="Tabela_3___Benefícios__previsto_x_realizado_12">#REF!</definedName>
    <definedName name="Tabela_3___Benefícios__previsto_x_realizado_13" localSheetId="10">#REF!</definedName>
    <definedName name="Tabela_3___Benefícios__previsto_x_realizado_13">#REF!</definedName>
    <definedName name="Tabela_3___Benefícios__previsto_x_realizado_14" localSheetId="10">#REF!</definedName>
    <definedName name="Tabela_3___Benefícios__previsto_x_realizado_14">#REF!</definedName>
    <definedName name="Tabela_3___Benefícios__previsto_x_realizado_2" localSheetId="10">#REF!</definedName>
    <definedName name="Tabela_3___Benefícios__previsto_x_realizado_2">#REF!</definedName>
    <definedName name="Tabela_3___Benefícios__previsto_x_realizado_4" localSheetId="10">#REF!</definedName>
    <definedName name="Tabela_3___Benefícios__previsto_x_realizado_4">#REF!</definedName>
    <definedName name="Tabela_3___Benefícios__previsto_x_realizado_6" localSheetId="10">#REF!</definedName>
    <definedName name="Tabela_3___Benefícios__previsto_x_realizado_6">#REF!</definedName>
    <definedName name="Tabela_3___Benefícios__previsto_x_realizado_8" localSheetId="10">#REF!</definedName>
    <definedName name="Tabela_3___Benefícios__previsto_x_realizado_8">#REF!</definedName>
    <definedName name="Tabela_4___Receitas_Administradas_pela_SRF__previsto_x_realizado" localSheetId="10">#REF!</definedName>
    <definedName name="Tabela_4___Receitas_Administradas_pela_SRF__previsto_x_realizado">#REF!</definedName>
    <definedName name="Tabela_4___Receitas_Administradas_pela_SRF__previsto_x_realizado_11" localSheetId="10">#REF!</definedName>
    <definedName name="Tabela_4___Receitas_Administradas_pela_SRF__previsto_x_realizado_11">#REF!</definedName>
    <definedName name="Tabela_4___Receitas_Administradas_pela_SRF__previsto_x_realizado_12" localSheetId="10">#REF!</definedName>
    <definedName name="Tabela_4___Receitas_Administradas_pela_SRF__previsto_x_realizado_12">#REF!</definedName>
    <definedName name="Tabela_4___Receitas_Administradas_pela_SRF__previsto_x_realizado_13" localSheetId="10">#REF!</definedName>
    <definedName name="Tabela_4___Receitas_Administradas_pela_SRF__previsto_x_realizado_13">#REF!</definedName>
    <definedName name="Tabela_4___Receitas_Administradas_pela_SRF__previsto_x_realizado_14" localSheetId="10">#REF!</definedName>
    <definedName name="Tabela_4___Receitas_Administradas_pela_SRF__previsto_x_realizado_14">#REF!</definedName>
    <definedName name="Tabela_4___Receitas_Administradas_pela_SRF__previsto_x_realizado_2" localSheetId="10">#REF!</definedName>
    <definedName name="Tabela_4___Receitas_Administradas_pela_SRF__previsto_x_realizado_2">#REF!</definedName>
    <definedName name="Tabela_4___Receitas_Administradas_pela_SRF__previsto_x_realizado_4" localSheetId="10">#REF!</definedName>
    <definedName name="Tabela_4___Receitas_Administradas_pela_SRF__previsto_x_realizado_4">#REF!</definedName>
    <definedName name="Tabela_4___Receitas_Administradas_pela_SRF__previsto_x_realizado_6" localSheetId="10">#REF!</definedName>
    <definedName name="Tabela_4___Receitas_Administradas_pela_SRF__previsto_x_realizado_6">#REF!</definedName>
    <definedName name="Tabela_4___Receitas_Administradas_pela_SRF__previsto_x_realizado_8" localSheetId="10">#REF!</definedName>
    <definedName name="Tabela_4___Receitas_Administradas_pela_SRF__previsto_x_realizado_8">#REF!</definedName>
    <definedName name="Tabela_5___Receitas_Administradas_em_Agosto" localSheetId="10">#REF!</definedName>
    <definedName name="Tabela_5___Receitas_Administradas_em_Agosto">#REF!</definedName>
    <definedName name="Tabela_5___Receitas_Administradas_em_Agosto_11" localSheetId="10">#REF!</definedName>
    <definedName name="Tabela_5___Receitas_Administradas_em_Agosto_11">#REF!</definedName>
    <definedName name="Tabela_5___Receitas_Administradas_em_Agosto_12" localSheetId="10">#REF!</definedName>
    <definedName name="Tabela_5___Receitas_Administradas_em_Agosto_12">#REF!</definedName>
    <definedName name="Tabela_5___Receitas_Administradas_em_Agosto_13" localSheetId="10">#REF!</definedName>
    <definedName name="Tabela_5___Receitas_Administradas_em_Agosto_13">#REF!</definedName>
    <definedName name="Tabela_5___Receitas_Administradas_em_Agosto_14" localSheetId="10">#REF!</definedName>
    <definedName name="Tabela_5___Receitas_Administradas_em_Agosto_14">#REF!</definedName>
    <definedName name="Tabela_5___Receitas_Administradas_em_Agosto_2" localSheetId="10">#REF!</definedName>
    <definedName name="Tabela_5___Receitas_Administradas_em_Agosto_2">#REF!</definedName>
    <definedName name="Tabela_5___Receitas_Administradas_em_Agosto_4" localSheetId="10">#REF!</definedName>
    <definedName name="Tabela_5___Receitas_Administradas_em_Agosto_4">#REF!</definedName>
    <definedName name="Tabela_5___Receitas_Administradas_em_Agosto_6" localSheetId="10">#REF!</definedName>
    <definedName name="Tabela_5___Receitas_Administradas_em_Agosto_6">#REF!</definedName>
    <definedName name="Tabela_5___Receitas_Administradas_em_Agosto_8" localSheetId="10">#REF!</definedName>
    <definedName name="Tabela_5___Receitas_Administradas_em_Agosto_8">#REF!</definedName>
    <definedName name="Tabela_6___Receitas_Diretamente_Arrecadadas" localSheetId="10">#REF!</definedName>
    <definedName name="Tabela_6___Receitas_Diretamente_Arrecadadas">#REF!</definedName>
    <definedName name="Tabela_6___Receitas_Diretamente_Arrecadadas_11" localSheetId="10">#REF!</definedName>
    <definedName name="Tabela_6___Receitas_Diretamente_Arrecadadas_11">#REF!</definedName>
    <definedName name="Tabela_6___Receitas_Diretamente_Arrecadadas_12" localSheetId="10">#REF!</definedName>
    <definedName name="Tabela_6___Receitas_Diretamente_Arrecadadas_12">#REF!</definedName>
    <definedName name="Tabela_6___Receitas_Diretamente_Arrecadadas_13" localSheetId="10">#REF!</definedName>
    <definedName name="Tabela_6___Receitas_Diretamente_Arrecadadas_13">#REF!</definedName>
    <definedName name="Tabela_6___Receitas_Diretamente_Arrecadadas_14" localSheetId="10">#REF!</definedName>
    <definedName name="Tabela_6___Receitas_Diretamente_Arrecadadas_14">#REF!</definedName>
    <definedName name="Tabela_6___Receitas_Diretamente_Arrecadadas_2" localSheetId="10">#REF!</definedName>
    <definedName name="Tabela_6___Receitas_Diretamente_Arrecadadas_2">#REF!</definedName>
    <definedName name="Tabela_6___Receitas_Diretamente_Arrecadadas_4" localSheetId="10">#REF!</definedName>
    <definedName name="Tabela_6___Receitas_Diretamente_Arrecadadas_4">#REF!</definedName>
    <definedName name="Tabela_6___Receitas_Diretamente_Arrecadadas_6" localSheetId="10">#REF!</definedName>
    <definedName name="Tabela_6___Receitas_Diretamente_Arrecadadas_6">#REF!</definedName>
    <definedName name="Tabela_6___Receitas_Diretamente_Arrecadadas_8" localSheetId="10">#REF!</definedName>
    <definedName name="Tabela_6___Receitas_Diretamente_Arrecadadas_8">#REF!</definedName>
    <definedName name="Tabela_7___Déficit_da_Previdência_Social_em_1999" localSheetId="10">#REF!</definedName>
    <definedName name="Tabela_7___Déficit_da_Previdência_Social_em_1999">#REF!</definedName>
    <definedName name="Tabela_7___Déficit_da_Previdência_Social_em_1999_11" localSheetId="10">#REF!</definedName>
    <definedName name="Tabela_7___Déficit_da_Previdência_Social_em_1999_11">#REF!</definedName>
    <definedName name="Tabela_7___Déficit_da_Previdência_Social_em_1999_12" localSheetId="10">#REF!</definedName>
    <definedName name="Tabela_7___Déficit_da_Previdência_Social_em_1999_12">#REF!</definedName>
    <definedName name="Tabela_7___Déficit_da_Previdência_Social_em_1999_13" localSheetId="10">#REF!</definedName>
    <definedName name="Tabela_7___Déficit_da_Previdência_Social_em_1999_13">#REF!</definedName>
    <definedName name="Tabela_7___Déficit_da_Previdência_Social_em_1999_14" localSheetId="10">#REF!</definedName>
    <definedName name="Tabela_7___Déficit_da_Previdência_Social_em_1999_14">#REF!</definedName>
    <definedName name="Tabela_7___Déficit_da_Previdência_Social_em_1999_2" localSheetId="10">#REF!</definedName>
    <definedName name="Tabela_7___Déficit_da_Previdência_Social_em_1999_2">#REF!</definedName>
    <definedName name="Tabela_7___Déficit_da_Previdência_Social_em_1999_4" localSheetId="10">#REF!</definedName>
    <definedName name="Tabela_7___Déficit_da_Previdência_Social_em_1999_4">#REF!</definedName>
    <definedName name="Tabela_7___Déficit_da_Previdência_Social_em_1999_6" localSheetId="10">#REF!</definedName>
    <definedName name="Tabela_7___Déficit_da_Previdência_Social_em_1999_6">#REF!</definedName>
    <definedName name="Tabela_7___Déficit_da_Previdência_Social_em_1999_8" localSheetId="10">#REF!</definedName>
    <definedName name="Tabela_7___Déficit_da_Previdência_Social_em_1999_8">#REF!</definedName>
    <definedName name="Tabela_8___Receitas_Administradas__revisão_da_previsão" localSheetId="10">#REF!</definedName>
    <definedName name="Tabela_8___Receitas_Administradas__revisão_da_previsão">#REF!</definedName>
    <definedName name="Tabela_8___Receitas_Administradas__revisão_da_previsão_11" localSheetId="10">#REF!</definedName>
    <definedName name="Tabela_8___Receitas_Administradas__revisão_da_previsão_11">#REF!</definedName>
    <definedName name="Tabela_8___Receitas_Administradas__revisão_da_previsão_12" localSheetId="10">#REF!</definedName>
    <definedName name="Tabela_8___Receitas_Administradas__revisão_da_previsão_12">#REF!</definedName>
    <definedName name="Tabela_8___Receitas_Administradas__revisão_da_previsão_13" localSheetId="10">#REF!</definedName>
    <definedName name="Tabela_8___Receitas_Administradas__revisão_da_previsão_13">#REF!</definedName>
    <definedName name="Tabela_8___Receitas_Administradas__revisão_da_previsão_14" localSheetId="10">#REF!</definedName>
    <definedName name="Tabela_8___Receitas_Administradas__revisão_da_previsão_14">#REF!</definedName>
    <definedName name="Tabela_8___Receitas_Administradas__revisão_da_previsão_2" localSheetId="10">#REF!</definedName>
    <definedName name="Tabela_8___Receitas_Administradas__revisão_da_previsão_2">#REF!</definedName>
    <definedName name="Tabela_8___Receitas_Administradas__revisão_da_previsão_4" localSheetId="10">#REF!</definedName>
    <definedName name="Tabela_8___Receitas_Administradas__revisão_da_previsão_4">#REF!</definedName>
    <definedName name="Tabela_8___Receitas_Administradas__revisão_da_previsão_6" localSheetId="10">#REF!</definedName>
    <definedName name="Tabela_8___Receitas_Administradas__revisão_da_previsão_6">#REF!</definedName>
    <definedName name="Tabela_8___Receitas_Administradas__revisão_da_previsão_8" localSheetId="10">#REF!</definedName>
    <definedName name="Tabela_8___Receitas_Administradas__revisão_da_previsão_8">#REF!</definedName>
    <definedName name="Tabela_9___Resultado_Primário_de_1999" localSheetId="10">#REF!</definedName>
    <definedName name="Tabela_9___Resultado_Primário_de_1999">#REF!</definedName>
    <definedName name="Tabela_9___Resultado_Primário_de_1999_11" localSheetId="10">#REF!</definedName>
    <definedName name="Tabela_9___Resultado_Primário_de_1999_11">#REF!</definedName>
    <definedName name="Tabela_9___Resultado_Primário_de_1999_12" localSheetId="10">#REF!</definedName>
    <definedName name="Tabela_9___Resultado_Primário_de_1999_12">#REF!</definedName>
    <definedName name="Tabela_9___Resultado_Primário_de_1999_13" localSheetId="10">#REF!</definedName>
    <definedName name="Tabela_9___Resultado_Primário_de_1999_13">#REF!</definedName>
    <definedName name="Tabela_9___Resultado_Primário_de_1999_14" localSheetId="10">#REF!</definedName>
    <definedName name="Tabela_9___Resultado_Primário_de_1999_14">#REF!</definedName>
    <definedName name="Tabela_9___Resultado_Primário_de_1999_2" localSheetId="10">#REF!</definedName>
    <definedName name="Tabela_9___Resultado_Primário_de_1999_2">#REF!</definedName>
    <definedName name="Tabela_9___Resultado_Primário_de_1999_4" localSheetId="10">#REF!</definedName>
    <definedName name="Tabela_9___Resultado_Primário_de_1999_4">#REF!</definedName>
    <definedName name="Tabela_9___Resultado_Primário_de_1999_6" localSheetId="10">#REF!</definedName>
    <definedName name="Tabela_9___Resultado_Primário_de_1999_6">#REF!</definedName>
    <definedName name="Tabela_9___Resultado_Primário_de_1999_8" localSheetId="10">#REF!</definedName>
    <definedName name="Tabela_9___Resultado_Primário_de_1999_8">#REF!</definedName>
  </definedNames>
  <calcPr fullCalcOnLoad="1"/>
</workbook>
</file>

<file path=xl/comments1.xml><?xml version="1.0" encoding="utf-8"?>
<comments xmlns="http://schemas.openxmlformats.org/spreadsheetml/2006/main">
  <authors>
    <author>durvalfbf</author>
    <author>Lutero</author>
  </authors>
  <commentList>
    <comment ref="G27" authorId="0">
      <text>
        <r>
          <rPr>
            <b/>
            <sz val="9"/>
            <rFont val="Tahoma"/>
            <family val="2"/>
          </rPr>
          <t>durvalfbf:</t>
        </r>
        <r>
          <rPr>
            <sz val="9"/>
            <rFont val="Tahoma"/>
            <family val="2"/>
          </rPr>
          <t xml:space="preserve">
= Transferências Intergovernamentais - Deduções da Receita
do FUNDEB
</t>
        </r>
      </text>
    </comment>
    <comment ref="B27" authorId="0">
      <text>
        <r>
          <rPr>
            <b/>
            <sz val="9"/>
            <rFont val="Tahoma"/>
            <family val="2"/>
          </rPr>
          <t>durvalfbf:</t>
        </r>
        <r>
          <rPr>
            <sz val="9"/>
            <rFont val="Tahoma"/>
            <family val="2"/>
          </rPr>
          <t xml:space="preserve">
=Transferências Intergovernamentais - deduções da receita do FUNDEB</t>
        </r>
      </text>
    </comment>
    <comment ref="C27" authorId="0">
      <text>
        <r>
          <rPr>
            <b/>
            <sz val="9"/>
            <rFont val="Tahoma"/>
            <family val="2"/>
          </rPr>
          <t>durvalfbf:</t>
        </r>
        <r>
          <rPr>
            <sz val="9"/>
            <rFont val="Tahoma"/>
            <family val="2"/>
          </rPr>
          <t xml:space="preserve">
=Transferências Intergovernamentais - deduções da receita do FUNDEB</t>
        </r>
      </text>
    </comment>
    <comment ref="B76" authorId="1">
      <text>
        <r>
          <rPr>
            <b/>
            <sz val="9"/>
            <rFont val="Tahoma"/>
            <family val="2"/>
          </rPr>
          <t>Lutero:</t>
        </r>
        <r>
          <rPr>
            <sz val="9"/>
            <rFont val="Tahoma"/>
            <family val="2"/>
          </rPr>
          <t xml:space="preserve">
Total de pessoal e encargos-Despesas Intra-Orçamentárias</t>
        </r>
      </text>
    </comment>
    <comment ref="H76" authorId="1">
      <text>
        <r>
          <rPr>
            <b/>
            <sz val="9"/>
            <rFont val="Tahoma"/>
            <family val="2"/>
          </rPr>
          <t>Lutero:</t>
        </r>
        <r>
          <rPr>
            <sz val="9"/>
            <rFont val="Tahoma"/>
            <family val="2"/>
          </rPr>
          <t xml:space="preserve">
Despesas liquidadas-Intra-Orçamentária</t>
        </r>
      </text>
    </comment>
    <comment ref="E76" authorId="1">
      <text>
        <r>
          <rPr>
            <b/>
            <sz val="9"/>
            <rFont val="Tahoma"/>
            <family val="2"/>
          </rPr>
          <t>Lutero:</t>
        </r>
        <r>
          <rPr>
            <sz val="9"/>
            <rFont val="Tahoma"/>
            <family val="2"/>
          </rPr>
          <t xml:space="preserve">
Despesas empenhadas-Intra-Orçamentária</t>
        </r>
      </text>
    </comment>
  </commentList>
</comments>
</file>

<file path=xl/comments10.xml><?xml version="1.0" encoding="utf-8"?>
<comments xmlns="http://schemas.openxmlformats.org/spreadsheetml/2006/main">
  <authors>
    <author>Lutero</author>
  </authors>
  <commentList>
    <comment ref="E18" authorId="0">
      <text>
        <r>
          <rPr>
            <b/>
            <sz val="9"/>
            <rFont val="Tahoma"/>
            <family val="2"/>
          </rPr>
          <t>Lutero:</t>
        </r>
        <r>
          <rPr>
            <sz val="9"/>
            <rFont val="Tahoma"/>
            <family val="2"/>
          </rPr>
          <t xml:space="preserve">
1911.38.00.00
        40.00.00</t>
        </r>
      </text>
    </comment>
    <comment ref="E19" authorId="0">
      <text>
        <r>
          <rPr>
            <b/>
            <sz val="9"/>
            <rFont val="Tahoma"/>
            <family val="2"/>
          </rPr>
          <t>Lutero:</t>
        </r>
        <r>
          <rPr>
            <sz val="9"/>
            <rFont val="Tahoma"/>
            <family val="2"/>
          </rPr>
          <t xml:space="preserve">
1931.11.00.00
        13.00.00</t>
        </r>
      </text>
    </comment>
    <comment ref="E20" authorId="0">
      <text>
        <r>
          <rPr>
            <b/>
            <sz val="9"/>
            <rFont val="Tahoma"/>
            <family val="2"/>
          </rPr>
          <t>Lutero:</t>
        </r>
        <r>
          <rPr>
            <sz val="9"/>
            <rFont val="Tahoma"/>
            <family val="2"/>
          </rPr>
          <t xml:space="preserve">
1913.11.00.00
        13.00.00</t>
        </r>
      </text>
    </comment>
  </commentList>
</comments>
</file>

<file path=xl/comments6.xml><?xml version="1.0" encoding="utf-8"?>
<comments xmlns="http://schemas.openxmlformats.org/spreadsheetml/2006/main">
  <authors>
    <author>durvalfbf</author>
  </authors>
  <commentList>
    <comment ref="D30" authorId="0">
      <text>
        <r>
          <rPr>
            <b/>
            <sz val="9"/>
            <rFont val="Tahoma"/>
            <family val="2"/>
          </rPr>
          <t>durvalfbf:</t>
        </r>
        <r>
          <rPr>
            <sz val="9"/>
            <rFont val="Tahoma"/>
            <family val="2"/>
          </rPr>
          <t xml:space="preserve">
=outras receitas correntes-dívida ativa + receitas de serviços</t>
        </r>
      </text>
    </comment>
    <comment ref="D24" authorId="0">
      <text>
        <r>
          <rPr>
            <b/>
            <sz val="9"/>
            <rFont val="Tahoma"/>
            <family val="2"/>
          </rPr>
          <t>durvalfbf:</t>
        </r>
        <r>
          <rPr>
            <sz val="9"/>
            <rFont val="Tahoma"/>
            <family val="2"/>
          </rPr>
          <t xml:space="preserve">
=FPM- dedução da receita</t>
        </r>
      </text>
    </comment>
    <comment ref="D25" authorId="0">
      <text>
        <r>
          <rPr>
            <b/>
            <sz val="9"/>
            <rFont val="Tahoma"/>
            <family val="2"/>
          </rPr>
          <t>durvalfbf:</t>
        </r>
        <r>
          <rPr>
            <sz val="9"/>
            <rFont val="Tahoma"/>
            <family val="2"/>
          </rPr>
          <t xml:space="preserve">
=ICMS- dedução da receita</t>
        </r>
      </text>
    </comment>
    <comment ref="D27" authorId="0">
      <text>
        <r>
          <rPr>
            <b/>
            <sz val="9"/>
            <rFont val="Tahoma"/>
            <family val="2"/>
          </rPr>
          <t>durvalfbf:</t>
        </r>
        <r>
          <rPr>
            <sz val="9"/>
            <rFont val="Tahoma"/>
            <family val="2"/>
          </rPr>
          <t xml:space="preserve">
=Total tc- fpm-icms-transf.convênios-dedução da receita do FUNDEB</t>
        </r>
      </text>
    </comment>
    <comment ref="B30" authorId="0">
      <text>
        <r>
          <rPr>
            <b/>
            <sz val="9"/>
            <rFont val="Tahoma"/>
            <family val="2"/>
          </rPr>
          <t>durvalfbf:</t>
        </r>
        <r>
          <rPr>
            <sz val="9"/>
            <rFont val="Tahoma"/>
            <family val="2"/>
          </rPr>
          <t xml:space="preserve">
=Outras rec.corentes-Dívida Ativa+ Receitas de serviços</t>
        </r>
      </text>
    </comment>
  </commentList>
</comments>
</file>

<file path=xl/sharedStrings.xml><?xml version="1.0" encoding="utf-8"?>
<sst xmlns="http://schemas.openxmlformats.org/spreadsheetml/2006/main" count="1296" uniqueCount="957">
  <si>
    <t>RELATÓRIO RESUMIDO DA EXECUÇÃO ORÇAMENTÁRIA</t>
  </si>
  <si>
    <t>BALANÇO ORÇAMENTÁRIO - PREFEITURA MUNICIPAL DE SÃO LUÍS (MA)</t>
  </si>
  <si>
    <t>ORÇAMENTOS FISCAL E DA SEGURIDADE SOCIAL</t>
  </si>
  <si>
    <t>RECEITAS</t>
  </si>
  <si>
    <t xml:space="preserve"> PREVISÃO INICIAL </t>
  </si>
  <si>
    <t xml:space="preserve"> PREVISÃO       ATUALIZADA </t>
  </si>
  <si>
    <t xml:space="preserve"> RECEITAS REALIZADAS </t>
  </si>
  <si>
    <t xml:space="preserve"> No Bimestre </t>
  </si>
  <si>
    <t xml:space="preserve"> % </t>
  </si>
  <si>
    <t xml:space="preserve"> Até o bimestre </t>
  </si>
  <si>
    <t xml:space="preserve"> (a) </t>
  </si>
  <si>
    <t xml:space="preserve"> (b) </t>
  </si>
  <si>
    <t xml:space="preserve"> (b/a) </t>
  </si>
  <si>
    <t xml:space="preserve"> (c) </t>
  </si>
  <si>
    <t xml:space="preserve"> (c/a) </t>
  </si>
  <si>
    <t xml:space="preserve"> (a-c) </t>
  </si>
  <si>
    <t>RECEITAS CORRENTES</t>
  </si>
  <si>
    <t>RECEITA TRIBUTARIA</t>
  </si>
  <si>
    <t>Impostos</t>
  </si>
  <si>
    <t>Taxas</t>
  </si>
  <si>
    <t>Contribuição de Melhoria</t>
  </si>
  <si>
    <t xml:space="preserve"> -   </t>
  </si>
  <si>
    <t>RECEITA DE CONTRIBUICOES</t>
  </si>
  <si>
    <t>Contribuicões Sociais</t>
  </si>
  <si>
    <t>RECEITA PATRIMONIAL</t>
  </si>
  <si>
    <t>Receitas Imobiliárias</t>
  </si>
  <si>
    <t>Receitas de Valores Mobiliários</t>
  </si>
  <si>
    <t>Compensações Financeiras</t>
  </si>
  <si>
    <t>Receita de Concessões e Permissões</t>
  </si>
  <si>
    <t>Outras Receitas Patrimoniais</t>
  </si>
  <si>
    <t>RECEITA DE SERVICOS</t>
  </si>
  <si>
    <t>Receita de Serviços</t>
  </si>
  <si>
    <t>TRANSFERENCIAS CORRENTES</t>
  </si>
  <si>
    <t>Transferências Intergovernamentais</t>
  </si>
  <si>
    <t>Transferências de Inst. Privadas</t>
  </si>
  <si>
    <t>Transferências de Convênios</t>
  </si>
  <si>
    <t>OUTRAS RECEITAS CORRENTES</t>
  </si>
  <si>
    <t>Multas e Juros de Mora</t>
  </si>
  <si>
    <t>Indenizações e Restituições</t>
  </si>
  <si>
    <t>Receita da Dívida Ativa</t>
  </si>
  <si>
    <t>Receitas Correntes Diversas</t>
  </si>
  <si>
    <t>RECEITAS DE CAPITAL</t>
  </si>
  <si>
    <t xml:space="preserve">OPERACOES DE CREDITO  </t>
  </si>
  <si>
    <t>Operações de Crédito Internas</t>
  </si>
  <si>
    <t>Operações de Crédito Externas</t>
  </si>
  <si>
    <t>ALIENACAO DE BENS</t>
  </si>
  <si>
    <t>Alienação de Bens Móveis</t>
  </si>
  <si>
    <t>Alienação de Bens Imóveis</t>
  </si>
  <si>
    <t>TRANSFERENCIAS DE CAPITAL</t>
  </si>
  <si>
    <t>Transferências Inst. Privadas</t>
  </si>
  <si>
    <t>OUTRAS RECEITAS DE CAPITAL</t>
  </si>
  <si>
    <t>Receitas de Capital Diversas</t>
  </si>
  <si>
    <t>RECEITAS INTRA-ORÇAMENTÁRIAS (II)</t>
  </si>
  <si>
    <t>SUBTOTAL DAS RECEITAS  (III = I + II)</t>
  </si>
  <si>
    <t xml:space="preserve"> OPERAÇÕES DE CRÉDITO / REFINANCIAMENTO (IV)</t>
  </si>
  <si>
    <t xml:space="preserve"> Mobiliária</t>
  </si>
  <si>
    <t>Contratual</t>
  </si>
  <si>
    <t>SUBTOTAL COM REFINANCIAMENTO (V) = (III+IV)</t>
  </si>
  <si>
    <t>DÉFICIT (VI)</t>
  </si>
  <si>
    <t>TOTAL (VII) = V+VI)</t>
  </si>
  <si>
    <t>SALDO DE EXERCÍCIOS ANTERIORES UTILIZADOS PARA CRÉDITOS ADICIONAIS</t>
  </si>
  <si>
    <t xml:space="preserve">                                           </t>
  </si>
  <si>
    <t xml:space="preserve"> DOTAÇÃO </t>
  </si>
  <si>
    <t>DESPESAS</t>
  </si>
  <si>
    <t xml:space="preserve">  INICIAL         </t>
  </si>
  <si>
    <t xml:space="preserve"> ATUALIZADA   </t>
  </si>
  <si>
    <t xml:space="preserve"> (d) </t>
  </si>
  <si>
    <t xml:space="preserve"> (e) </t>
  </si>
  <si>
    <t xml:space="preserve"> (h) </t>
  </si>
  <si>
    <t>DESPESAS (EXCETO INTRA-ORÇ.) (VIII)</t>
  </si>
  <si>
    <t>DESPESAS CORRENTES</t>
  </si>
  <si>
    <t>PESSOAL E ENCARGOS SOCIAIS</t>
  </si>
  <si>
    <t>JUROS E ENCARGOS DA DÍVIDA</t>
  </si>
  <si>
    <t>OUTRAS DESPESAS CORRENTES</t>
  </si>
  <si>
    <t>DESPESAS DE CAPITAL</t>
  </si>
  <si>
    <t>INVESTIMENTOS</t>
  </si>
  <si>
    <t>INVERSÕES FINANCEIRAS</t>
  </si>
  <si>
    <t>AMORTIZAÇÃO DA DÍVIDA</t>
  </si>
  <si>
    <t>RESERVA DE CONTINGÊNCIA</t>
  </si>
  <si>
    <t>RESERVA DO RPPS</t>
  </si>
  <si>
    <t>DESPESAS INTRA-ORÇAMENTÁRIAS (IX)</t>
  </si>
  <si>
    <t>SUBTOTAL DAS DESPESAS (X) = VIII + IX</t>
  </si>
  <si>
    <t>Amortização da Dívida Interna</t>
  </si>
  <si>
    <t>Dívida Mobiliária</t>
  </si>
  <si>
    <t>Outras Dívidas</t>
  </si>
  <si>
    <t>Amortização da Dívida Externa</t>
  </si>
  <si>
    <t>SUBTOTAL C/ REFINANCIAMENTO (XII) = (X + XI)</t>
  </si>
  <si>
    <t>SUPERÁVIT (XIII)</t>
  </si>
  <si>
    <t>TOTAL (XIV) = (XII + XIII)</t>
  </si>
  <si>
    <t>FONTE: SECRETARIA MUNICIPAL DA FAZENDA</t>
  </si>
  <si>
    <t>Nota: Durante o exercício, somente as despesas liquidadas são consideradas executadas. No encerramento do exercício, as despesas não liquidadas inscritas em restos a pagar não-processados são também consideradas executadas. Dessa forma, para maior transparência, as despesas executadas estão segregadas em:</t>
  </si>
  <si>
    <t>a) Despesas liquidadas, consideradas aquelas em que houve a entrega do material ou serviço, nos termos do art. 63 da Lei 4.320/64;</t>
  </si>
  <si>
    <t>b) Despesas empenhadas mas não liquidadas, inscritas em Restos a Pagar não-processados, consideradas liquidadas no encerramento do exercício, por força do art.35, inciso II da Lei 4.320/64.</t>
  </si>
  <si>
    <t>Prefeitura de São Luís (MA)</t>
  </si>
  <si>
    <t>Relatório Resumido da Execução Orçamentária</t>
  </si>
  <si>
    <t>Demonstrativo da Execuçäo das Despesas por Funçäo e Subfunção</t>
  </si>
  <si>
    <t>Orçamentos Fiscal e da Seguridade Social</t>
  </si>
  <si>
    <t>Função Sub-Função</t>
  </si>
  <si>
    <t>Dotação</t>
  </si>
  <si>
    <t>%</t>
  </si>
  <si>
    <t xml:space="preserve">Inicial </t>
  </si>
  <si>
    <t>Atualizada</t>
  </si>
  <si>
    <t>No Bimestre</t>
  </si>
  <si>
    <t>Até o Bimestre</t>
  </si>
  <si>
    <t>(b/total b)</t>
  </si>
  <si>
    <t>(a)</t>
  </si>
  <si>
    <t>(b)</t>
  </si>
  <si>
    <t>(b/a)</t>
  </si>
  <si>
    <t>DESPESA (EXCETO INTRA) - I</t>
  </si>
  <si>
    <t xml:space="preserve"> LEGISLATIVA</t>
  </si>
  <si>
    <t xml:space="preserve">    Ação Legislativa</t>
  </si>
  <si>
    <t xml:space="preserve">   Administração Geral</t>
  </si>
  <si>
    <t xml:space="preserve">    Previdência do Regime Estatutário</t>
  </si>
  <si>
    <t xml:space="preserve"> ESSENCIAL À JUSTIÇA</t>
  </si>
  <si>
    <t xml:space="preserve">    Rep. Judicial e Extrajudicial</t>
  </si>
  <si>
    <t xml:space="preserve">    Administração Geral</t>
  </si>
  <si>
    <t xml:space="preserve"> ADMINISTRAÇÃO</t>
  </si>
  <si>
    <t xml:space="preserve">   Planejamento e Orçamento</t>
  </si>
  <si>
    <t xml:space="preserve">   Administração Financeira</t>
  </si>
  <si>
    <t xml:space="preserve">   Controle Interno</t>
  </si>
  <si>
    <t xml:space="preserve">   Tecnologia da Informação</t>
  </si>
  <si>
    <t xml:space="preserve">   Formação de Recursos Humanos</t>
  </si>
  <si>
    <t xml:space="preserve">   Administração de Receitas</t>
  </si>
  <si>
    <t xml:space="preserve">   Comunicação Social</t>
  </si>
  <si>
    <t xml:space="preserve"> SEGURANÇA PÚBLICA</t>
  </si>
  <si>
    <t xml:space="preserve">   Policiamento </t>
  </si>
  <si>
    <t xml:space="preserve">   Defesa Civil </t>
  </si>
  <si>
    <t xml:space="preserve"> ASSISTÊNCIA SOCIAL</t>
  </si>
  <si>
    <t xml:space="preserve">   Assistência ao Idoso</t>
  </si>
  <si>
    <t xml:space="preserve">   Assistência ao Portador Deficiência</t>
  </si>
  <si>
    <t xml:space="preserve">   Assistência Comunitária</t>
  </si>
  <si>
    <t xml:space="preserve"> PREVIDÊNCIA SOCIAL</t>
  </si>
  <si>
    <t xml:space="preserve">   Previdência Básica</t>
  </si>
  <si>
    <t xml:space="preserve">   Previdência do Regime Estatutário</t>
  </si>
  <si>
    <t xml:space="preserve"> SAÚDE</t>
  </si>
  <si>
    <t xml:space="preserve">   Atenção Básica</t>
  </si>
  <si>
    <t xml:space="preserve">   Assist. Hospitalar e Ambulatorial</t>
  </si>
  <si>
    <t xml:space="preserve">   Vigilância Sanitária </t>
  </si>
  <si>
    <t xml:space="preserve">   Vigilância Epidemiológica</t>
  </si>
  <si>
    <t xml:space="preserve"> TRABALHO</t>
  </si>
  <si>
    <t xml:space="preserve">   Proteção e Benefícios Trabalhador</t>
  </si>
  <si>
    <t xml:space="preserve">   Empregabilidade</t>
  </si>
  <si>
    <t xml:space="preserve">   Fomento ao Trabalho</t>
  </si>
  <si>
    <t xml:space="preserve">   Ensino Profissional</t>
  </si>
  <si>
    <t xml:space="preserve"> EDUCAÇÃO</t>
  </si>
  <si>
    <t xml:space="preserve">   Ensino Fundamental</t>
  </si>
  <si>
    <t xml:space="preserve">   Educação Infantil </t>
  </si>
  <si>
    <t xml:space="preserve">   Educação de Jovens e Adultos</t>
  </si>
  <si>
    <t xml:space="preserve">   Educação Especial</t>
  </si>
  <si>
    <t xml:space="preserve">   Preservação e Conservação Ambiental</t>
  </si>
  <si>
    <t xml:space="preserve"> CULTURA</t>
  </si>
  <si>
    <t xml:space="preserve">   Pat. Hist. Art. e Arqueológico</t>
  </si>
  <si>
    <t xml:space="preserve">   Difusão Cultural</t>
  </si>
  <si>
    <t xml:space="preserve"> DIREITOS DA CIDADANIA</t>
  </si>
  <si>
    <t xml:space="preserve">   Alimentação e Nutrição</t>
  </si>
  <si>
    <t xml:space="preserve"> URBANISMO</t>
  </si>
  <si>
    <t xml:space="preserve">   Normatização e Fiscalização</t>
  </si>
  <si>
    <t xml:space="preserve">   Ordenamento Territorial</t>
  </si>
  <si>
    <t xml:space="preserve">   Infra-estrutura urbana</t>
  </si>
  <si>
    <t xml:space="preserve">   Serviços Urbanos</t>
  </si>
  <si>
    <t xml:space="preserve"> HABITAÇÃO</t>
  </si>
  <si>
    <t xml:space="preserve">   Habitação Urbana</t>
  </si>
  <si>
    <t xml:space="preserve"> SANEAMENTO</t>
  </si>
  <si>
    <t xml:space="preserve">   Saneamento Básico Urbano</t>
  </si>
  <si>
    <t xml:space="preserve"> GESTÃO AMBIENTAL</t>
  </si>
  <si>
    <t xml:space="preserve">   Controle Ambiental</t>
  </si>
  <si>
    <t xml:space="preserve">   Preservação e Conserv. Ambiental</t>
  </si>
  <si>
    <t xml:space="preserve"> AGRICULTURA</t>
  </si>
  <si>
    <t xml:space="preserve">   Promoção da Produção Vegetal</t>
  </si>
  <si>
    <t xml:space="preserve">   Abastecimento</t>
  </si>
  <si>
    <t xml:space="preserve"> COMÉRCIO E SERVIÇOS</t>
  </si>
  <si>
    <t xml:space="preserve">   Turismo</t>
  </si>
  <si>
    <t xml:space="preserve"> TRANSPORTE</t>
  </si>
  <si>
    <t xml:space="preserve">   Transporte Rodoviário</t>
  </si>
  <si>
    <t xml:space="preserve"> DESPORTOS E LAZER</t>
  </si>
  <si>
    <t xml:space="preserve">   Lazer</t>
  </si>
  <si>
    <t xml:space="preserve"> ENCARGOS ESPECIAIS</t>
  </si>
  <si>
    <t xml:space="preserve">   Serviço da Dívida Interna</t>
  </si>
  <si>
    <t xml:space="preserve">   Outros Encargos Especiais</t>
  </si>
  <si>
    <t xml:space="preserve"> RESERVA DE CONTINGÊNCIA</t>
  </si>
  <si>
    <t xml:space="preserve">   Reserva de Contingência</t>
  </si>
  <si>
    <t xml:space="preserve">  TOTAL III = (I + II)</t>
  </si>
  <si>
    <t>PREFEITURA MUNICIPAL DE SÃO LUÍS (MA)</t>
  </si>
  <si>
    <t>DEMONSTRATIVO DA RECEITA CORRENTE LÍQUIDA</t>
  </si>
  <si>
    <t>ESPECIFICAÇÃO</t>
  </si>
  <si>
    <t>mai-09</t>
  </si>
  <si>
    <t>jun-09</t>
  </si>
  <si>
    <t>RECEITAS CORRENTES (I)</t>
  </si>
  <si>
    <t>Receita Tributária</t>
  </si>
  <si>
    <t>IPTU</t>
  </si>
  <si>
    <t>ISS</t>
  </si>
  <si>
    <t>ITBI</t>
  </si>
  <si>
    <t>IRPF</t>
  </si>
  <si>
    <t>Outras Receitas Tributárias</t>
  </si>
  <si>
    <t>Receita de Contribuições</t>
  </si>
  <si>
    <t>Receita Patrimonial</t>
  </si>
  <si>
    <t>Transferências Correntes</t>
  </si>
  <si>
    <t>Cota-Parte do FPM</t>
  </si>
  <si>
    <t>Cota-Parte do ICMS</t>
  </si>
  <si>
    <t>Cota-Parte do IPVA</t>
  </si>
  <si>
    <t>Cota-Parte do ITR</t>
  </si>
  <si>
    <t>Transferências LC 87/96</t>
  </si>
  <si>
    <t>Transferências LC 61/89</t>
  </si>
  <si>
    <t>Tranferências do FUNDEB</t>
  </si>
  <si>
    <t>Outras Transferências Correntes</t>
  </si>
  <si>
    <t>Outras Receitas Correntes</t>
  </si>
  <si>
    <t>DEDUÇÕES (II)</t>
  </si>
  <si>
    <t>Contrib. Plano Seg. Social Servidor</t>
  </si>
  <si>
    <t>Compensação Financ. entre Regimes Previd.</t>
  </si>
  <si>
    <t>Dedução de Receita para Formação do FUNDEB</t>
  </si>
  <si>
    <t>RECEITA CORRENTE LÍQUIDA (I - II)</t>
  </si>
  <si>
    <t>DEMONSTRATIVO DAS RECEITAS E DESPESAS PREVIDENCIÁRIAS  REGIME PRÓPRIO DOS SERVIDORES PÚBLICOS</t>
  </si>
  <si>
    <t>ORÇAMENTO DA SEGURIDADE SOCIAL</t>
  </si>
  <si>
    <t>RECEITAS PREVIDENCIÁRIAS</t>
  </si>
  <si>
    <t xml:space="preserve">PREVISÃO INICIAL     </t>
  </si>
  <si>
    <t>PREVISÃO      ATUALIZADA</t>
  </si>
  <si>
    <t>RECEITAS REALIZADAS</t>
  </si>
  <si>
    <t>RECEITAS PREVID. (EXC. INTRA-ORÇAMENTÁRIAS) - I</t>
  </si>
  <si>
    <t>Pessoal Civil</t>
  </si>
  <si>
    <t>Contribuição do Servidor Ativo Civil</t>
  </si>
  <si>
    <t>Contribuição do Servidor Inativo Civil</t>
  </si>
  <si>
    <t>Contribuição de Pensionista Civil</t>
  </si>
  <si>
    <t>Pessoal Militar</t>
  </si>
  <si>
    <t>Contribuição do Militar Ativo</t>
  </si>
  <si>
    <t>Contribuição do Militar Inativo</t>
  </si>
  <si>
    <t>Contribuição de Pensionista Militar</t>
  </si>
  <si>
    <t>Outras Receitas de Contribuição</t>
  </si>
  <si>
    <t>Compensação Previdenciária entre RGPS e RPPS</t>
  </si>
  <si>
    <t xml:space="preserve">    Outras Receitas Correntes   </t>
  </si>
  <si>
    <t>Alienação de Bens, Direitos e Ativos</t>
  </si>
  <si>
    <t>Amortização de Empréstimos</t>
  </si>
  <si>
    <t>Outras Receitas de Capital</t>
  </si>
  <si>
    <t>(-) DEDUÇÕES DA RECEITA</t>
  </si>
  <si>
    <t>RECEITAS PREVIDENCIÁRIAS - RPPS</t>
  </si>
  <si>
    <t>RECEITAS PREVID.  - INTRA-ORÇAMENTÁRIAS) - II</t>
  </si>
  <si>
    <t>TOTAL REC. PREVIDENCIÁRIAS (III) = I + II</t>
  </si>
  <si>
    <t>DESPESAS PREVIDENCIÁRIAS</t>
  </si>
  <si>
    <t xml:space="preserve">DOTAÇÃO INICIAL     </t>
  </si>
  <si>
    <t>DOTAÇÃO         ATUALIZADA</t>
  </si>
  <si>
    <t>INSCRITAS EM RPNP</t>
  </si>
  <si>
    <t>DESP. PREVID. (EXC. INTRA-ORÇAMENTÁRIAS) - IV</t>
  </si>
  <si>
    <t>ADMINISTRAÇÃO GERAL</t>
  </si>
  <si>
    <t>Despesas Correntes</t>
  </si>
  <si>
    <t>Despesas de Capital</t>
  </si>
  <si>
    <t>PREVIDÊNCIA SOCIAL</t>
  </si>
  <si>
    <t>Aposentadorias</t>
  </si>
  <si>
    <t>Pensões</t>
  </si>
  <si>
    <t>Outros Benefícios Previdenciários</t>
  </si>
  <si>
    <t>Reformas</t>
  </si>
  <si>
    <t>Outras Despesas Correntes</t>
  </si>
  <si>
    <t xml:space="preserve">     Demais Despesas Previdenciárias</t>
  </si>
  <si>
    <t>DESPESAS  PREVID.  - INTRA-ORÇAMENTÁRIAS) - V</t>
  </si>
  <si>
    <t>TOTAL DESP. PREVIDENCIÁRIAS (VI) = IV + V</t>
  </si>
  <si>
    <t>RESULTADO PREVIDENCIÁRIO VII = III - VI</t>
  </si>
  <si>
    <t>DEMONSTRATIVO DAS RECEITAS E DESPESAS PREVIDENCIÁRIAS DO REGIME PRÓPRIO DOS SERVIDORES PÚBLICOS</t>
  </si>
  <si>
    <t>APORTES DE RECURSOS PARA O REGIME PRÓPRIO
DE PREVIDÊNCIA DO SERVIDOR</t>
  </si>
  <si>
    <t>DOTAÇÃO</t>
  </si>
  <si>
    <t>DESPESAS LIQUIDADAS</t>
  </si>
  <si>
    <t>INICIAL</t>
  </si>
  <si>
    <t>ATUALIZADA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</si>
  <si>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</si>
  <si>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</si>
  <si>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</si>
  <si>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</si>
  <si>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</si>
  <si>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</si>
  <si>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</si>
  <si>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</si>
  <si>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RESERVA ORÇAMENTÁRIA DO RPPS</t>
  </si>
  <si>
    <t>PREVISÃO ORÇAMENTÁRIA</t>
  </si>
  <si>
    <t>VALOR</t>
  </si>
  <si>
    <t>BENS E DIREITOS DO RPPS</t>
  </si>
  <si>
    <t>PERÍODO DE REFERÊNCIA</t>
  </si>
  <si>
    <t>CAIXA</t>
  </si>
  <si>
    <t>BANCOS CONTA MOVIMENTO</t>
  </si>
  <si>
    <t>OUTROS BENS E DIREITOS</t>
  </si>
  <si>
    <t>REC.PREVIDENCIÁRIAS INTRA-ORÇAMENTÁRIAS</t>
  </si>
  <si>
    <t>RECEITAS CORRENTES (VIII)</t>
  </si>
  <si>
    <t>Contribuição Patronal do Servidor Ativo Civil</t>
  </si>
  <si>
    <t>Contribuição Patronal do Servidor Inativo Civil</t>
  </si>
  <si>
    <t>Contribuição Patronal de Pensionista Civil</t>
  </si>
  <si>
    <t>Contribuição Patronal de Militar Ativo</t>
  </si>
  <si>
    <t>Contribuição Patronal de Militar Inativo</t>
  </si>
  <si>
    <t>Contribuição Patronal de Pensionista Militar</t>
  </si>
  <si>
    <t>Contrib. Previdenciárias para cobertura de Déficit Atuarial</t>
  </si>
  <si>
    <t>Contrib. Previdenciária em regime de débitos e parcelamentos</t>
  </si>
  <si>
    <t>RECEITAS DE CAPITAL (IX)</t>
  </si>
  <si>
    <t>Alienação de Bens</t>
  </si>
  <si>
    <t>(-) DEDUÇÕES DA RECEITA (X)</t>
  </si>
  <si>
    <t>TOTAL REC. PREVID. INTRA-ORÇ. (XI) = VIII+IX - X)</t>
  </si>
  <si>
    <t>DESP. PREVIDENCIÁRIAS INTRA-ORÇAMENTÁRIAS</t>
  </si>
  <si>
    <t>ADMINISTRAÇÃO GERAL (XII)</t>
  </si>
  <si>
    <t xml:space="preserve">        Pessoal Civil</t>
  </si>
  <si>
    <t xml:space="preserve">            Aposentadorias </t>
  </si>
  <si>
    <t xml:space="preserve">            Pensões </t>
  </si>
  <si>
    <t xml:space="preserve">            Outros Benefícios Previdenciários </t>
  </si>
  <si>
    <t>TOTAL DESP. PREVID. INTRA-ORÇAMENTÁRIAS</t>
  </si>
  <si>
    <t>DEMONSTRATIVO DO RESULTADO NOMINAL</t>
  </si>
  <si>
    <t>SALDO</t>
  </si>
  <si>
    <t>(c)</t>
  </si>
  <si>
    <t>DÍVIDA CONSOLIDADA (I)</t>
  </si>
  <si>
    <t>Haveres Financeiros</t>
  </si>
  <si>
    <t>DÍVIDA CONSOLIDADA LÍQUIDA (III) = (I - II)</t>
  </si>
  <si>
    <t>RECEITA DE PRIVATIZAÇÕES (IV)</t>
  </si>
  <si>
    <t>PASSIVOS RECONHECIDOS (V)</t>
  </si>
  <si>
    <t>DÍVIDA FISCAL LÍQUIDA VI = III + VI - V</t>
  </si>
  <si>
    <t>(c - b)</t>
  </si>
  <si>
    <t>(c - a)</t>
  </si>
  <si>
    <t>RESULTADO NOMINAL</t>
  </si>
  <si>
    <t>DISCRIMINAÇÃO DA META FISCAL</t>
  </si>
  <si>
    <t>REGIME PREVIDENCIÁRIO</t>
  </si>
  <si>
    <t xml:space="preserve">    Investimentos</t>
  </si>
  <si>
    <t xml:space="preserve">    (-) Restos a Pagar Processados</t>
  </si>
  <si>
    <t>PREFEITURA MUNICIPAL DE SÃO LUÍS</t>
  </si>
  <si>
    <t>DEMONSTRATIVO DO RESULTADO PRIMÁRIO</t>
  </si>
  <si>
    <t>RECEITAS FISCAIS</t>
  </si>
  <si>
    <t>PREVISÃO ATUALIZADA</t>
  </si>
  <si>
    <t>RECEITAS PRIMÁRIAS CORRENTES (I)</t>
  </si>
  <si>
    <t xml:space="preserve">   IPTU</t>
  </si>
  <si>
    <t xml:space="preserve">   ISS</t>
  </si>
  <si>
    <t xml:space="preserve">   ITBI</t>
  </si>
  <si>
    <t xml:space="preserve">   IRPF</t>
  </si>
  <si>
    <t xml:space="preserve">   Outras Receitas Tributárias</t>
  </si>
  <si>
    <t xml:space="preserve">  Receita Previdenciária</t>
  </si>
  <si>
    <t xml:space="preserve">  Outras Contribuições</t>
  </si>
  <si>
    <t>Receita Patrimonial Líquida</t>
  </si>
  <si>
    <t xml:space="preserve">  Receita Patrimonial</t>
  </si>
  <si>
    <t xml:space="preserve"> (-) Aplicações Financeiras</t>
  </si>
  <si>
    <t xml:space="preserve">  FPM</t>
  </si>
  <si>
    <t xml:space="preserve">  ICMS</t>
  </si>
  <si>
    <t xml:space="preserve">  Transferências de Convênios</t>
  </si>
  <si>
    <t xml:space="preserve">  Outras Transferências Correntes</t>
  </si>
  <si>
    <t>Demais Receitas Correntes</t>
  </si>
  <si>
    <t xml:space="preserve">  Dívida Ativa</t>
  </si>
  <si>
    <t xml:space="preserve">  Diversas Receitas Correntes</t>
  </si>
  <si>
    <t>RECEITAS DE CAPITAL (II)</t>
  </si>
  <si>
    <t>Operações de Crédito (III)</t>
  </si>
  <si>
    <t>Amortização de Empréstimos (IV)</t>
  </si>
  <si>
    <t>Alienação de Bens  (V)</t>
  </si>
  <si>
    <t>Transferências de Capital</t>
  </si>
  <si>
    <t xml:space="preserve"> Convênios</t>
  </si>
  <si>
    <t xml:space="preserve"> Outras Transferências de Capital</t>
  </si>
  <si>
    <t>RECEITAS PRIMÁRIAS DE CAPITAL (VI) = (II - III - IV - V)</t>
  </si>
  <si>
    <t>RECEITAS PRIMÁRIAS LÍQUIDAS (VII) = (I + VI)</t>
  </si>
  <si>
    <t>DESPESAS FISCAIS</t>
  </si>
  <si>
    <t>DOTAÇÃO       ATUALIZADA</t>
  </si>
  <si>
    <t>DESPESAS CORRENTES (VIII)</t>
  </si>
  <si>
    <t>Pessoal e Encargos Sociais</t>
  </si>
  <si>
    <t>Juros e Encargos da Dívida (IX)</t>
  </si>
  <si>
    <t>DESPESAS PRIMÁRIAS CORRENTES (X) = (VIII - IX)</t>
  </si>
  <si>
    <t>DESPESAS DE CAPITAL (XI)</t>
  </si>
  <si>
    <t>Investimentos</t>
  </si>
  <si>
    <t>Inversões Financeiras</t>
  </si>
  <si>
    <t>Concessão de Empréstimos (XII)</t>
  </si>
  <si>
    <t>Aquisição de Título de Capital já Integralizado (XIII)</t>
  </si>
  <si>
    <t>Demais Inversões Financeiras</t>
  </si>
  <si>
    <t>Amortização da Dívida (XIV)</t>
  </si>
  <si>
    <t>DESPESAS PRIMÁRIAS CAPITAL (XV) = (XI - XII - XIII - XIV)</t>
  </si>
  <si>
    <t>RESERVA DE CONTINGÊNCIA (XVI)</t>
  </si>
  <si>
    <t>RESERVA DE RPPS (XVII)</t>
  </si>
  <si>
    <t>DESP. PRIMÁRIAS LÍQUIDAS (XVIII) = (X + XV + XVI+XVII)</t>
  </si>
  <si>
    <t>SALDOS DE EXERCÍCIOS ANTERIORES</t>
  </si>
  <si>
    <t xml:space="preserve">                                   &lt;ESFERA DE GOVERNO&gt;</t>
  </si>
  <si>
    <t>Continuação (2/2)</t>
  </si>
  <si>
    <t>DEMONSTRATIVO DA PROJEÇÃO ATUARIAL DO REGIME GERAL DE PREVIDÊNCIA SOCIAL</t>
  </si>
  <si>
    <t>&lt;PERÍODO DE REFERÊNCIA&gt;</t>
  </si>
  <si>
    <t>TABELA DE HIPÓTESES</t>
  </si>
  <si>
    <t>EXERCÍCIO</t>
  </si>
  <si>
    <t>MASSA SALARIAL</t>
  </si>
  <si>
    <t>CRESCIMENTO VEGETATIVO</t>
  </si>
  <si>
    <t>TAXA DE INFLAÇÃO ANUAL (IGP-DI Média)</t>
  </si>
  <si>
    <t>VARIAÇÃO REAL DO PIB</t>
  </si>
  <si>
    <t>REAJUSTE DO SALÁRIO MÍNIMO</t>
  </si>
  <si>
    <t>REAJUSTE DOS DEMAIS BENEFÍCIOS</t>
  </si>
  <si>
    <t>FONTES:</t>
  </si>
  <si>
    <t>DEMONSTRATIVO DOS RESTOS A PAGAR POR PODER E ÓRGÃO</t>
  </si>
  <si>
    <t>PODER / ÓRGÃO</t>
  </si>
  <si>
    <t>Inscritos</t>
  </si>
  <si>
    <t>Cancelados</t>
  </si>
  <si>
    <t>Pagos</t>
  </si>
  <si>
    <t>Exercícios Anteriores</t>
  </si>
  <si>
    <t>RESTOS A PAGAR (EXCETO INTRA-ORÇAMENTÁRIAS) - I</t>
  </si>
  <si>
    <t xml:space="preserve">         Câmara Municipal</t>
  </si>
  <si>
    <t xml:space="preserve">    EXECUTIVO</t>
  </si>
  <si>
    <t xml:space="preserve">          Secretaria Municipal de Governo</t>
  </si>
  <si>
    <t xml:space="preserve">          Gabinete do Vice-prefeito</t>
  </si>
  <si>
    <t xml:space="preserve">          Procuradoria Geral do Município</t>
  </si>
  <si>
    <t xml:space="preserve">          Controladoria Geral do Município</t>
  </si>
  <si>
    <t xml:space="preserve">          Comissão Permanente de Licitação</t>
  </si>
  <si>
    <t xml:space="preserve">          Secretaria Municipal de Segurança com Cidadania</t>
  </si>
  <si>
    <t xml:space="preserve">          Recursos sob a Superv. da  SEMFAZ</t>
  </si>
  <si>
    <t xml:space="preserve">          Recursos sob a Superv. da  SEMAD</t>
  </si>
  <si>
    <t xml:space="preserve">          Instituto Municipal de Paisagem Urbana</t>
  </si>
  <si>
    <t xml:space="preserve">          Instituto de Previdência e Assistência</t>
  </si>
  <si>
    <t xml:space="preserve">          Fundo Municipal da Assistência Social</t>
  </si>
  <si>
    <t xml:space="preserve">          FUNDEB</t>
  </si>
  <si>
    <t>TOTAL</t>
  </si>
  <si>
    <t>DEMONSTRATIVO DAS RECEITAS E DESPESAS COM MANUTENÇÃO E DESENVOLVIMENTO DO ENSINO - MDE</t>
  </si>
  <si>
    <t>RECEITA BRUTA DE IMPOSTOS</t>
  </si>
  <si>
    <t>PREVISÃO INICIAL</t>
  </si>
  <si>
    <t>1.1 Receita Resultante do IPTU</t>
  </si>
  <si>
    <t>1.2 Receita Resultante do ITBI</t>
  </si>
  <si>
    <t>1.3 Receita Resultante do ISS</t>
  </si>
  <si>
    <t xml:space="preserve">2.1 Cota-Parte FPM </t>
  </si>
  <si>
    <t xml:space="preserve">2.2 Cota-Parte ICMS </t>
  </si>
  <si>
    <t xml:space="preserve">2.3 ICMS-Desoneração - L.C. nº 87/96 </t>
  </si>
  <si>
    <t xml:space="preserve">2.4 Cota-Parte IPI-Exportação </t>
  </si>
  <si>
    <t xml:space="preserve">2.5 Cota-Parte ITR </t>
  </si>
  <si>
    <t xml:space="preserve">2.6 Cota-Parte IPVA </t>
  </si>
  <si>
    <t xml:space="preserve">2.7 Cota-Parte IOF-Ouro </t>
  </si>
  <si>
    <t>3. TOTAL DA RECEITA DE IMPOSTOS (1+2)</t>
  </si>
  <si>
    <t>RECEITAS ADICIONAIS PARA FINANCIAMENTO DO ENSINO</t>
  </si>
  <si>
    <t>5. Transferências do FNDE</t>
  </si>
  <si>
    <t>6. Transferências de Convênios destinados a Programas de Educação</t>
  </si>
  <si>
    <t>7. Receita de Operações de Crédito destinada à Educação</t>
  </si>
  <si>
    <t>RECEITAS DO FUNDEB</t>
  </si>
  <si>
    <t>10. Receitas de Transferências Constitucionais e Legais</t>
  </si>
  <si>
    <t>11. Receitas recebidas do FUNDEB</t>
  </si>
  <si>
    <t>11.1 Transferências de Recursos do FUNDEB</t>
  </si>
  <si>
    <t>11.2 Complementação da União ao  FUNDEB</t>
  </si>
  <si>
    <t>11.3 Receita de Aplicação Financeira dos Recursos do FUNDEB</t>
  </si>
  <si>
    <t xml:space="preserve">    12. RESULTADO LÍQUIDO DAS TRANSFERENCIAS DO FUNDEB (11.1 - 10)</t>
  </si>
  <si>
    <t>[se RESULTADO LÍQUIDO DA TRANSFERÊNCIAS (11 &gt; 0) = ACRÉSCIMO RESULTANTE DAS TRANSF. DO FUNDEB</t>
  </si>
  <si>
    <t>DESPESAS DO FUNDEB</t>
  </si>
  <si>
    <t>DOTAÇÃO INICIAL</t>
  </si>
  <si>
    <t>DOTAÇÃO ATUALIZADA</t>
  </si>
  <si>
    <t>(d)</t>
  </si>
  <si>
    <t xml:space="preserve"> 13. PAGAMENTO DOS PROFISSIONAIS DO MAGISTÉRIO </t>
  </si>
  <si>
    <t>13.1 Educação Infantil</t>
  </si>
  <si>
    <t>13.2 Educação Fundamental</t>
  </si>
  <si>
    <t xml:space="preserve"> 14. OUTRAS DESPESAS </t>
  </si>
  <si>
    <t>14.1 Educação Infantil</t>
  </si>
  <si>
    <t>14.2 Educação Fundamental</t>
  </si>
  <si>
    <t>16- RESTOS A PAGAR INSCRITOS NO EXERCÍCIO SEM DISPONIBILIDADE FINANCEIRA DE RECURSOS DO FUNDEB</t>
  </si>
  <si>
    <t xml:space="preserve">17- DESPESAS CUSTEADAS COM O SUPERÁVIT FINANCEIRO, DO EXERCÍCIO ANTERIOR, DO FUNDEB </t>
  </si>
  <si>
    <t>18- TOTAL DAS DEDUÇÕES CONSIDERADAS PARA FINS DE LIMITE DO FUNDEB (16 + 17)</t>
  </si>
  <si>
    <t>CONTROLE DA UTILIZAÇÃO DE RECURSOS NO EXERCÍCIO SUBSEQÜENTE</t>
  </si>
  <si>
    <t>PREVISÃO</t>
  </si>
  <si>
    <t>RECEITAS COM AÇÕES TÍPICAS DE MANUTENÇÃO E DESENVOLVIMENTO DO ENSINO</t>
  </si>
  <si>
    <t>(c) = (b/a)x100</t>
  </si>
  <si>
    <t>DESPESAS COM AÇÕES TÍPICAS DE MANUTENÇÃO E DESENVOLVIMENTO DO ENSINO</t>
  </si>
  <si>
    <t>(e)</t>
  </si>
  <si>
    <t>(f) = (e/d)x100</t>
  </si>
  <si>
    <t>23- EDUCAÇÃO INFANTIL</t>
  </si>
  <si>
    <t xml:space="preserve">24- ENSINO FUNDAMENTAL </t>
  </si>
  <si>
    <t xml:space="preserve">    24.1- Despesas Custeadas com Recursos do FUNDEB </t>
  </si>
  <si>
    <t xml:space="preserve">    24.2- Despesas Custeadas com Outros Recursos de Impostos</t>
  </si>
  <si>
    <t xml:space="preserve">25- ENSINO MÉDIO </t>
  </si>
  <si>
    <t>26- ENSINO SUPERIOR</t>
  </si>
  <si>
    <t>27- ENSINO PROFISSIONAL NÃO INTEGRADO AO ENSINO REGULAR</t>
  </si>
  <si>
    <t>28- OUTRAS</t>
  </si>
  <si>
    <t>29- TOTAL DAS DESPESAS PARA FINS DE LIMITE (soma de 23 a 28)</t>
  </si>
  <si>
    <t>DEDUÇÕES / ADIÇÕES CONSIDERADAS PARA FINS DE LIMITE CONSTITUCIONAL</t>
  </si>
  <si>
    <t>30- RESULTADO LÍQUIDO DAS TRANSFERÊNCIAS DO FUNDEB = (12)</t>
  </si>
  <si>
    <t>32- RECEITA DE APLICAÇÃO FINANCEIRA DOS RECURSOS DO FUNDEB ATÉ O BIMESTRE = (50h)</t>
  </si>
  <si>
    <t>33- DESPESAS CUSTEADAS COM O SUPERÁVIT FINANCEIRO DO EXERCÍCIO ANTERIOR, DO FUNDEB</t>
  </si>
  <si>
    <t>34- DESPESAS CUSTEADAS COM O SUPERÁVIT FINANCEIRO DO EXERCÍCIO ANTERIOR, DE OUTROS RECURSOS DE IMPOSTOS</t>
  </si>
  <si>
    <t xml:space="preserve">36- CANCELAMENTOS, NO EXERCÍCIO, DE RESTOS A PAGAR INSCRITOS COM DISPONBIILIDADE FINANCEIRO DE REC. DE IMPOSTOS VINCULADOS AO ENSINO </t>
  </si>
  <si>
    <t xml:space="preserve">38- TOTAL DAS DESPESAS PARA FINS DE LIMITE ((23+24)-(37)) </t>
  </si>
  <si>
    <r>
      <t>39- MÍNIMO DE 25% DAS RECEITAS RESULTANTES DE IMPOSTOS NA MANUTENÇÃO E DESENVOLVIMENTO DO ENSINO</t>
    </r>
    <r>
      <rPr>
        <b/>
        <vertAlign val="superscript"/>
        <sz val="8"/>
        <rFont val="Times New Roman"/>
        <family val="1"/>
      </rPr>
      <t xml:space="preserve">1 </t>
    </r>
    <r>
      <rPr>
        <b/>
        <sz val="8"/>
        <rFont val="Times New Roman"/>
        <family val="1"/>
      </rPr>
      <t>[(38)/3*100)]</t>
    </r>
  </si>
  <si>
    <t>OUTRAS INFORMAÇÕES PARA CONTROLE</t>
  </si>
  <si>
    <t xml:space="preserve"> </t>
  </si>
  <si>
    <t>45- TOTAL GERAL DAS DESPESAS COM MDE  (29 +44)</t>
  </si>
  <si>
    <t>RESTOS A PAGAR INSCRITOS COM DISPONIBILIDADE FINANCEIRA
DE RECURSOS DE IMPOSTOS VINCULADOS AO ENSINO</t>
  </si>
  <si>
    <t>SALDO ATÉ O BIMESTRE</t>
  </si>
  <si>
    <t>FLUXO FINANCEIRO DOS RECURSOS DO FUNDEB</t>
  </si>
  <si>
    <t>PREFEITURA DE SÃO LUÍS (MA)</t>
  </si>
  <si>
    <t>DEMONSTRATIVO SIMPLIFICADO DO RELATÓRIO RESUMIDO DA EXECUÇÃO ORÇAMENTÁRIA</t>
  </si>
  <si>
    <t xml:space="preserve">BALANÇO ORÇAMENTÁRIO </t>
  </si>
  <si>
    <t>Despesas Empenhadas</t>
  </si>
  <si>
    <t>Despesas Liquidadas</t>
  </si>
  <si>
    <t>DESPESAS POR FUNÇÃO / SUBFUNÇÃO</t>
  </si>
  <si>
    <t>RECEITA CORRENTE LÍQUIDA - RCL</t>
  </si>
  <si>
    <t>Receita Corrente Líquida</t>
  </si>
  <si>
    <t>Regime Geral de Previdência Social</t>
  </si>
  <si>
    <t>Regime Próprio de Previdência Social dos Servidores Públicos</t>
  </si>
  <si>
    <t>RESULTADOS NOMINAL E PRIMÁRIO</t>
  </si>
  <si>
    <t xml:space="preserve"> % em Relação à Meta</t>
  </si>
  <si>
    <t>Resultado Nominal</t>
  </si>
  <si>
    <t>Resultado Primário</t>
  </si>
  <si>
    <t>Inscrição</t>
  </si>
  <si>
    <t>RESTOS A PAGAR PROCESSADOS</t>
  </si>
  <si>
    <t>RESTOS A PAGAR NÃO-PROCESSADOS</t>
  </si>
  <si>
    <t>Valor apurado</t>
  </si>
  <si>
    <t>Limites Constitucionais Anuais</t>
  </si>
  <si>
    <t>até  o bimestre</t>
  </si>
  <si>
    <t>&lt;25% / 18%&gt;</t>
  </si>
  <si>
    <t>RECEITAS DE OPERAÇÕES DE CRÉDITO E DESPESAS DE CAPITAL</t>
  </si>
  <si>
    <t>Valor Apurado Até o Bimestre</t>
  </si>
  <si>
    <t>Saldo a Realizar</t>
  </si>
  <si>
    <t>Receita de Operação de Crédito</t>
  </si>
  <si>
    <t>Despesa de Capital Líquida</t>
  </si>
  <si>
    <t>PROJEÇÃO ATUARIAL DOS REGIMES DE PREVIDÊNCIA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</si>
  <si>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</si>
  <si>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</si>
  <si>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</si>
  <si>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</si>
  <si>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</si>
  <si>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Receitas Previdenciárias (IV)</t>
  </si>
  <si>
    <t xml:space="preserve">    Despesas Previdenciárias (V)</t>
  </si>
  <si>
    <t>RECEITA DA ALIENAÇÃO DE ATIVOS E APLICAÇÃO DOS RECURSOS</t>
  </si>
  <si>
    <t>Receita de Capital Resultante da Alienação de Ativos</t>
  </si>
  <si>
    <t>Aplicação dos Recursos da Alienação de Ativos</t>
  </si>
  <si>
    <t>DESPESAS DE CARÁTER CONTINUADO DERIVADAS DE  PPP´S CONTRATADAS</t>
  </si>
  <si>
    <t>VALOR APURADO NO EXERCÍCIO CORRENTE</t>
  </si>
  <si>
    <t xml:space="preserve">Total das Despesas / RCL (%) </t>
  </si>
  <si>
    <t>Disponibilidade de Caixa Bruta</t>
  </si>
  <si>
    <t>46- RESTOS A PAGAR DE DESPESAS COM MANUTENÇÃO E DESENVOLVIMENTO DO ENSINO</t>
  </si>
  <si>
    <t xml:space="preserve">   Suporte Profilático e Terapêutico</t>
  </si>
  <si>
    <t xml:space="preserve">    4. Receita de Aplic. Financeira de outros recursos de impostos vinculados ao ensino </t>
  </si>
  <si>
    <t xml:space="preserve">    9. TOTAL DAS REC. ADICIONAIS PARA FINANCIAMENTO DO ENSINO (4+5+6+7+8)</t>
  </si>
  <si>
    <t>31- DESPESAS CUSTEADAS COM A COMPLEMENTAÇÃO DO FUNDEB NO EXERCÍCIO</t>
  </si>
  <si>
    <t>37- TOTAL DAS DEDUÇÕES / ADIÇÕES CONSIDERADAS PARA FINS DE LIMITE CONSTITUCIONAL (SOMA DE 30 A 36)</t>
  </si>
  <si>
    <t>43- DESPESAS CUST. COM OUTRAS REC. PARA FINANCIAMENTO DO ENSINO (106+112+116)</t>
  </si>
  <si>
    <t>42 - DESPESAS CUSTEADAS COM RECURSOS DE OPERAÇÕES DE CRÉDITO - (Fonte 114)</t>
  </si>
  <si>
    <t>41- DESPESAS CUSTEADAS CONT. SOCIAL DO SALÁRIO-EDUCAÇÃO - (Fonte 111)</t>
  </si>
  <si>
    <t>40- DESP.CUSTEADAS COM APLIC. FIN. DE OUTROS REC. DE IMPOSTOS VINC ENSINO</t>
  </si>
  <si>
    <t xml:space="preserve">  Ordenamento Territorial</t>
  </si>
  <si>
    <t xml:space="preserve">   Recursos Hídricos</t>
  </si>
  <si>
    <t xml:space="preserve">   Desporto de Rendimento</t>
  </si>
  <si>
    <t xml:space="preserve">          Fundação Municipal de Patrimônio Histórico </t>
  </si>
  <si>
    <t xml:space="preserve">35- RESTOS A PAGAR INSCRITOS NO EXERCÍCIO SEM DISPONBIILIDADE FINANCEIRA DE REC. DE IMPOSTOS VINCULADOS AO ENSINO </t>
  </si>
  <si>
    <t>% Mín Aplicar Exercício</t>
  </si>
  <si>
    <t>1.4 Receita Resultante do IRRF</t>
  </si>
  <si>
    <t>1.5 Receita Resultante do ITR</t>
  </si>
  <si>
    <t>1.Receitas de Impostos (I)</t>
  </si>
  <si>
    <t xml:space="preserve">RECEITA RESULTANTE DE IMPOSTOS </t>
  </si>
  <si>
    <t>2. Receitas de Transferências Constitucionais e Legais (II)</t>
  </si>
  <si>
    <t xml:space="preserve">     5.1  Transferências do Salário-Educação</t>
  </si>
  <si>
    <t xml:space="preserve">     6.1 Transferências de Convênios</t>
  </si>
  <si>
    <t xml:space="preserve">     6.2 Aplicação Financeira dos Recursos de Convênios</t>
  </si>
  <si>
    <t>22- IMPOSTOS E TRANSFERÊNCIAS DESTINADAS À MDE (25% de 3)3</t>
  </si>
  <si>
    <t xml:space="preserve">                            ORÇAMENTOS FISCAL E DA SEGURIDADE SOCIAL</t>
  </si>
  <si>
    <t xml:space="preserve">                             RELATÓRIO RESUMIDO DA EXECUÇÃO ORÇAMENTÁRIA</t>
  </si>
  <si>
    <t xml:space="preserve">                             PREFEITURA MUNICIPAL DE SÃO LUÍS (MA)</t>
  </si>
  <si>
    <t>Pag. 1/3</t>
  </si>
  <si>
    <t>Pag. 2/3</t>
  </si>
  <si>
    <t>Pag. 3/3</t>
  </si>
  <si>
    <t>Pag. 1/2</t>
  </si>
  <si>
    <t>Pag. 2/2</t>
  </si>
  <si>
    <t>AMORTIZAÇÃO DA DÍV.-REFINANCIAMENTO (XI)</t>
  </si>
  <si>
    <t xml:space="preserve">    Disponibilidade de Caixa Bruta</t>
  </si>
  <si>
    <t xml:space="preserve">    Passivo Atuarial</t>
  </si>
  <si>
    <t xml:space="preserve">    Demais Dívidas</t>
  </si>
  <si>
    <t xml:space="preserve">    Demais Haveres Financeiros</t>
  </si>
  <si>
    <t>DÍVIDA CONSOLIDADA PREVIDENCIÁRIA (VII)</t>
  </si>
  <si>
    <t>DEDUÇÕES (VIII)</t>
  </si>
  <si>
    <t>PASSIVOS RECONHECIDOS (X)</t>
  </si>
  <si>
    <t>DÍV.  CONS. LÍQUIDA PREVIDENCIÁRIA (IX) = (VII - VIII)</t>
  </si>
  <si>
    <t>DÍVIDA FISCAL LÍQUIDA PREVIDENCIÁRIA (XI) = (IX - X)</t>
  </si>
  <si>
    <t>EXERCÍCIO ANTERIOR</t>
  </si>
  <si>
    <t>[se RESULTADO LÍQUIDO DAS TRANSFERÊNCIAS (11 &lt; 0) = DECRÉSCIMO RESULTANTE DAS TRANSF. DO FUNDEB</t>
  </si>
  <si>
    <t xml:space="preserve">   Direitos indiv, coletivos e difusos</t>
  </si>
  <si>
    <t>Receitas Tributárias</t>
  </si>
  <si>
    <t>Receitas de Contribuições</t>
  </si>
  <si>
    <t xml:space="preserve"> 15. TOTAL DAS DESPESAS DO FUNDEB (13+14)</t>
  </si>
  <si>
    <t>48- (+) INGRESSO DE  RECURSOS DO FUNDEB ATÉ O BIMESTRE</t>
  </si>
  <si>
    <t>51- (=) SALDO FINANCEIRO DO FUNDEB NO EXERCÍCIO ATUAL</t>
  </si>
  <si>
    <t>50- (+) RECEITA DE APLICAÇÃO FINANCEIRA DOS RECURSOS DO FUNDEB ATÉ O BIMESTRE</t>
  </si>
  <si>
    <t>49- (-) PAGAMENTOS EFETUADOS ATÉ O BIMESTRE</t>
  </si>
  <si>
    <t>No Bimestre Anterior</t>
  </si>
  <si>
    <t xml:space="preserve">No Bimestre </t>
  </si>
  <si>
    <t>TOTAL  (ÚLTIMOS 12 M.)</t>
  </si>
  <si>
    <t>RESTOS A PAGAR NÃO PROCESSADOS</t>
  </si>
  <si>
    <t>Liquidados</t>
  </si>
  <si>
    <t xml:space="preserve">     LEGISLATIVO</t>
  </si>
  <si>
    <t xml:space="preserve">      ADMINISTRAÇÃO DIRETA</t>
  </si>
  <si>
    <t xml:space="preserve">          Secretaria Municipal de Articulação Desenv. Metropolitano</t>
  </si>
  <si>
    <t xml:space="preserve">          Secretaria Municipal de Articulação Institucional</t>
  </si>
  <si>
    <t xml:space="preserve">          Secretaria Municipal de Comunicação </t>
  </si>
  <si>
    <t xml:space="preserve">          Secretaria Municipal de Obras e Serviços Públicos</t>
  </si>
  <si>
    <t xml:space="preserve">          Manutenção e Desenvolvimento do Ensino</t>
  </si>
  <si>
    <t xml:space="preserve">          Secretaria Municipal da Fazenda </t>
  </si>
  <si>
    <t xml:space="preserve">          Secretaria Municipal de Trânsito e Transportes Urbanos</t>
  </si>
  <si>
    <t xml:space="preserve">          Secretaria Extraordinária Municipal de Orçam. Participativo</t>
  </si>
  <si>
    <t xml:space="preserve">          Secretaria Municipal de Administração </t>
  </si>
  <si>
    <t xml:space="preserve">          Secretaria Municipal de Urbanismo e Habitação </t>
  </si>
  <si>
    <t xml:space="preserve">          Secretaria Municipal de Turismo </t>
  </si>
  <si>
    <t xml:space="preserve">          Secretaria Municipal de Planejamento e Desenvolvimento</t>
  </si>
  <si>
    <t xml:space="preserve">          Secretaria Municipal de Informações e Tecnologia</t>
  </si>
  <si>
    <t xml:space="preserve">          Secretaria Municipal de Segurança Alimentar</t>
  </si>
  <si>
    <t xml:space="preserve">          Secretaria Municipal da Criança e Assistência Social</t>
  </si>
  <si>
    <t xml:space="preserve">          Secretaria Municipal de Desporto e Lazer</t>
  </si>
  <si>
    <t xml:space="preserve">          Secretaria Municipal de Agricultura, Pesca e Abastecimento</t>
  </si>
  <si>
    <t xml:space="preserve">          Secretaria Extraordinária de Projetos Especiais</t>
  </si>
  <si>
    <t xml:space="preserve">      ADMINISTRAÇÃO INDIRETA</t>
  </si>
  <si>
    <t xml:space="preserve">        AUTARQUIAS</t>
  </si>
  <si>
    <t xml:space="preserve">          Hospital Municipal Djalma Marques </t>
  </si>
  <si>
    <t xml:space="preserve">          Instituto da Cidade </t>
  </si>
  <si>
    <t xml:space="preserve">          Fundação Municipal de Cultura </t>
  </si>
  <si>
    <t xml:space="preserve">        FUNDOS</t>
  </si>
  <si>
    <t xml:space="preserve">          Fundo Municipal de Saúde </t>
  </si>
  <si>
    <t xml:space="preserve">          Fundo Especial Municipal de Transportes</t>
  </si>
  <si>
    <t xml:space="preserve">          Fundo Municipal Direitos Criança e do Adolescente</t>
  </si>
  <si>
    <t xml:space="preserve">    Multas, Juros de Mora e Outros Encargos dos Impostos</t>
  </si>
  <si>
    <t xml:space="preserve">    Dívida Ativa dos Impostos</t>
  </si>
  <si>
    <t xml:space="preserve">    Pessoal e Encargos Sociais</t>
  </si>
  <si>
    <t xml:space="preserve">    Juros e Encargos da Dívida</t>
  </si>
  <si>
    <t xml:space="preserve">    Outras Despesas Correntes</t>
  </si>
  <si>
    <t xml:space="preserve">    Investimentos </t>
  </si>
  <si>
    <t xml:space="preserve">    Inversões Financeiras</t>
  </si>
  <si>
    <t xml:space="preserve">    Amortização da Dívida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</si>
  <si>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</si>
  <si>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</si>
  <si>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</si>
  <si>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</si>
  <si>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</si>
  <si>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</si>
  <si>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Outras Subfunções</t>
  </si>
  <si>
    <t>DEMONSTRATIVO DAS PARCERIAS PÚBLICO-PRIVADAS</t>
  </si>
  <si>
    <t>SALDO TOTAL EM 31 DE DEZEMBRO DO EXERCÍCIO ANTERIOR                       (a)</t>
  </si>
  <si>
    <t>SALDO TOTAL                                 (c) =(a+b)</t>
  </si>
  <si>
    <t>Até o Bimestre                        (b)</t>
  </si>
  <si>
    <t>TOTAL DE ATIVOS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</si>
  <si>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</si>
  <si>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</si>
  <si>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</si>
  <si>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</si>
  <si>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</si>
  <si>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</si>
  <si>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</si>
  <si>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 - 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</si>
  <si>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</si>
  <si>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</si>
  <si>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</si>
  <si>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</si>
  <si>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</si>
  <si>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 Serviços Futuros</t>
  </si>
  <si>
    <t xml:space="preserve">     Outros Serviços Contingentes</t>
  </si>
  <si>
    <t>DESPESAS DE PPP</t>
  </si>
  <si>
    <t>ERXERCÍCIO CORRENTE (EC)</t>
  </si>
  <si>
    <t>&lt;EC+1&gt;</t>
  </si>
  <si>
    <t>&lt;EC+2&gt;</t>
  </si>
  <si>
    <t>&lt;EC+3&gt;</t>
  </si>
  <si>
    <t>&lt;EC+4&gt;</t>
  </si>
  <si>
    <t>&lt;EC+5&gt;</t>
  </si>
  <si>
    <t>&lt;EC+6&gt;</t>
  </si>
  <si>
    <t>&lt;EC+7&gt;</t>
  </si>
  <si>
    <t>&lt;EC+8&gt;</t>
  </si>
  <si>
    <t>&lt;EC+9&gt;</t>
  </si>
  <si>
    <t>Do Ente Federado</t>
  </si>
  <si>
    <t>Das Estatais Não-dependentes</t>
  </si>
  <si>
    <t>TOTAL DAS DESPESAS</t>
  </si>
  <si>
    <t>RECEITA CORRENTE LÍQUIDA (RCL)</t>
  </si>
  <si>
    <t>TOTAL DAS DESPESAS / RCL  (%)</t>
  </si>
  <si>
    <t>DESPESAS EMPENHADAS</t>
  </si>
  <si>
    <t xml:space="preserve">                       RREO - ANEXO 1  (LRF - Art. 52, inciso I, alíneas "a" e "b" do inciso II e §1º)  </t>
  </si>
  <si>
    <t xml:space="preserve">RREO - ANEXO 2 (LRF - Art.52, inciso II, alínea "c") </t>
  </si>
  <si>
    <t>Outras Despesas Previdenciárias</t>
  </si>
  <si>
    <t>Comp. Previdenciária do RPPS para o RGPS</t>
  </si>
  <si>
    <t xml:space="preserve"> RREO - ANEXO 4 (LRF - Art. 53, inciso II)</t>
  </si>
  <si>
    <t>(-) Restos a Pagar Processados (Exceto Precatórios)</t>
  </si>
  <si>
    <t xml:space="preserve"> RREO - ANEXO 5 (LRF - art 53, inciso III)</t>
  </si>
  <si>
    <t xml:space="preserve"> RREO - ANEXO 6 (LRF - art 53, inciso III)</t>
  </si>
  <si>
    <t xml:space="preserve"> RREO - ANEXO 7 (LRF - art. 53, inciso V) </t>
  </si>
  <si>
    <t xml:space="preserve">RREO - ANEXO 8 (LDB, art. 72) </t>
  </si>
  <si>
    <t xml:space="preserve">    1.1.2 - Multa, juros de mora e outros encargos do IPTU</t>
  </si>
  <si>
    <t xml:space="preserve">    1.2.1 - ITBI</t>
  </si>
  <si>
    <t xml:space="preserve">    1.2.3 - Dívida Ativa do ITBI </t>
  </si>
  <si>
    <t xml:space="preserve">    1.2.2 - Multa, juros de mora e outros encargos do ITBI</t>
  </si>
  <si>
    <t xml:space="preserve">    1.2.5 - (-) Deduções da Receita do ITBI</t>
  </si>
  <si>
    <t xml:space="preserve">    1.1.1. - IPTU</t>
  </si>
  <si>
    <t xml:space="preserve">    1.1.3 - Dívida Ativa do IPTU </t>
  </si>
  <si>
    <t xml:space="preserve">    1.1.4 - Multa, juros de mora, atual. Mon. e outros encargos da dívida ativa do IPTU</t>
  </si>
  <si>
    <t xml:space="preserve">    1.1.5 - (-) Deduções da Receita do IPTU</t>
  </si>
  <si>
    <t xml:space="preserve">    1.3.1 - ISS</t>
  </si>
  <si>
    <t xml:space="preserve">    1.3.2 - Multa, juros de mora e outros encargos do ISS</t>
  </si>
  <si>
    <t xml:space="preserve">    1.3.3 - Dívida Ativa do ISS </t>
  </si>
  <si>
    <t xml:space="preserve">    1.3.5 - (-) Deduções da Receita do ISS</t>
  </si>
  <si>
    <t xml:space="preserve">    1.4.1 - IRPF</t>
  </si>
  <si>
    <t xml:space="preserve">    1.4.2 - Multa, juros de mora e outros encargos do IRPF</t>
  </si>
  <si>
    <t xml:space="preserve">    1.4.3 - Dívida Ativa do IRPF </t>
  </si>
  <si>
    <t xml:space="preserve">    1.4.4 - Multa, juros de mora, atual. monetária e outros encargos da dívida ativa do IRPF</t>
  </si>
  <si>
    <t xml:space="preserve">    1.3.4 - Multa, juros de mora, atual. monetária e outros encargos da dívida ativa do ISS</t>
  </si>
  <si>
    <t xml:space="preserve">    1.2.4 - Multa, juros de mora, atual. monetária e outros encargos da dívida ativa do ITBI</t>
  </si>
  <si>
    <t xml:space="preserve">    1.4.5 - (-) Deduções da Receita do IRRF</t>
  </si>
  <si>
    <t xml:space="preserve">    1.5.1 - ITR</t>
  </si>
  <si>
    <t xml:space="preserve">    1.5.2 - Multa, juros de mora e outros encargos do ITR</t>
  </si>
  <si>
    <t xml:space="preserve">    1.5.3 - Dívida Ativa do ITR </t>
  </si>
  <si>
    <t xml:space="preserve">    1.5.4 - Multa, juros de mora, atual. monetária e outros encargos da dívida ativa do ITR</t>
  </si>
  <si>
    <t xml:space="preserve">    1.5.5 - (-) Deduções da Receita do ITR</t>
  </si>
  <si>
    <t xml:space="preserve">    2.1.1 - Parcela referente à CF - art. 159, I, alínea b</t>
  </si>
  <si>
    <t xml:space="preserve">    2.1.2 - Parcela referente à CF - art. 159, I, alínea d</t>
  </si>
  <si>
    <t>10.1 Cota-Parte FPM destinada ao FUNDEB - (20% de 2.1.1)</t>
  </si>
  <si>
    <t>10.2 Cota-Parte ICMS destinada ao FUNDEB - (20% de 2.2)</t>
  </si>
  <si>
    <t>10.3 ICMS-Desoneração - L.C. nº 87/96 - destinada ao FUNDEB - (20% de 2.3)</t>
  </si>
  <si>
    <t>10.4 Cota-Parte IPI-Exportação (85%)  - destinada ao FUNDEB - (20% de 2.4)</t>
  </si>
  <si>
    <t>10.5 Cota-Parte ITR (100%)  - destinada ao FUNDEB - (20% de (1.5 + 2.5)</t>
  </si>
  <si>
    <t>10.6 Cota-Parte IPVA (100%)   - destinada ao FUNDEB - (20% de 2.6)</t>
  </si>
  <si>
    <t>TOTAL DAS DESPESAS COM SAÚDE (IV)</t>
  </si>
  <si>
    <t>RREO - ANEXO 14 (LRF, art. 48)</t>
  </si>
  <si>
    <t>RREO - ANEXO 13 (Lei nº 11.079, de 30.12.2004, arts. 22, 25 e 28)</t>
  </si>
  <si>
    <t xml:space="preserve"> RREO - ANEXO 12 (LC 141/2012, art. 35)</t>
  </si>
  <si>
    <t>RECEITAS PARA APURAÇÃO DA APLICAÇÃO EM AÇÕES E SERVIÇOS PÚBLICOS DE SAÚDE</t>
  </si>
  <si>
    <r>
      <t>(b/a)</t>
    </r>
    <r>
      <rPr>
        <b/>
        <sz val="6"/>
        <rFont val="Times New Roman"/>
        <family val="1"/>
      </rPr>
      <t>x100</t>
    </r>
  </si>
  <si>
    <t>RECEITA DE IMPOSTOS LÍQUIDA (I)</t>
  </si>
  <si>
    <t xml:space="preserve">    Imposto Predial e Territorial Urbano - IPTU</t>
  </si>
  <si>
    <t xml:space="preserve">    Imposto sobre Transmissão de Bens Intervivos - ITBI</t>
  </si>
  <si>
    <t xml:space="preserve">    Imposto sobre Serviços de Qualquer Natureza - ISS</t>
  </si>
  <si>
    <t xml:space="preserve">    Imposto de Renda Retido na Fonte - IRRF</t>
  </si>
  <si>
    <t xml:space="preserve">    Imposto Territorial Rural - ITR</t>
  </si>
  <si>
    <t xml:space="preserve">    Multas, Juros de Mora e Outros Encargos da Dívida Ativa </t>
  </si>
  <si>
    <t>RECEITA DE TRANSFERÊNCIAS CONSTITUCIONAIS E LEGAIS (II)</t>
  </si>
  <si>
    <t xml:space="preserve">    Cota-Parte do FPM</t>
  </si>
  <si>
    <t xml:space="preserve">    Cota-Parte do ITR</t>
  </si>
  <si>
    <t xml:space="preserve">    Cota-Parte do IPVA</t>
  </si>
  <si>
    <t xml:space="preserve">    Cota-Parte do ICMS</t>
  </si>
  <si>
    <t xml:space="preserve">    Cota-Parte IPI-Exportação</t>
  </si>
  <si>
    <t xml:space="preserve">    Compensações Financeiras Prevenientes de Impostos e Transf. Constitucionais</t>
  </si>
  <si>
    <t xml:space="preserve">        Desoneração ICMS (LC 87/96)</t>
  </si>
  <si>
    <t>TOTAL DAS RECEITAS PARA APURAÇÃO DA APLICAÇÃO EM AÇÕES E SERVIÇOS PÚBLICOS DE SAÚDE (III) = I + II</t>
  </si>
  <si>
    <t>TRANSFERÊNCIA DE RECURSOS DO SISTEMA ÚNICO DE SAÚDE - 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</si>
  <si>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</si>
  <si>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</si>
  <si>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</si>
  <si>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</si>
  <si>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</si>
  <si>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</si>
  <si>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 xml:space="preserve">OUTRAS RECEITAS PARA FINANCIAMENTO DA SAÚDE </t>
  </si>
  <si>
    <t>TOTAL DAS RECEITAS ADICIONAIS PARA FINANCIAMENTO DA SAÚDE</t>
  </si>
  <si>
    <t>Até o Bimestre                                     (d)</t>
  </si>
  <si>
    <t xml:space="preserve"> Até o Bimestre</t>
  </si>
  <si>
    <t>PREVISÃO ATUALIZADA              ( c )</t>
  </si>
  <si>
    <t>(g)</t>
  </si>
  <si>
    <t xml:space="preserve">DOTAÇÃO ATUALIZADA                                                                      </t>
  </si>
  <si>
    <t xml:space="preserve"> (e)</t>
  </si>
  <si>
    <t xml:space="preserve">DESPESAS COM INATIVOS E PENSIONISTAS </t>
  </si>
  <si>
    <t>DESPESAS COM ASSISTÊNCIA À SAÚDE QUE NÃO ATENDE AO PRINCÍPIO DE ACESSO UNIVERSAL</t>
  </si>
  <si>
    <t>DESPESAS CUSTEADAS COM OUTROS RECURSOS</t>
  </si>
  <si>
    <t xml:space="preserve">     Recursos de Transferência do Sistema Único de Saúde - SUS</t>
  </si>
  <si>
    <t xml:space="preserve">     Recursos de Operações de Crédito</t>
  </si>
  <si>
    <t xml:space="preserve">     Outros Recursos</t>
  </si>
  <si>
    <t>OUTRAS AÇÕES E SERVIÇOS NÃO COMPUTADOS</t>
  </si>
  <si>
    <t>RPNP INSCRITOS INDEVIDAMENTE NO EXERCÍCIO SEM DISPONIBILIDADE FINANCEIRA 1</t>
  </si>
  <si>
    <t>DESPESAS CUSTEADAS COM DISPONIBILIDADE DE CAIXA VINCULADA AOS RESTOS A PAGAR CANCELADOS 2</t>
  </si>
  <si>
    <t>DESPESAS CUSTEADAS COM RECURSOS VINCULADOS À PARCELA DO PERCENTUAL MÍNIMO QUE NÃO FOI APLICADO EM AÇÕES E SERVIÇOS PÚBLICOS DE SAÚDE 3</t>
  </si>
  <si>
    <t>TOTAL DAS DESPESAS COM SAÚDE NÃO COMPUTADAS (V)</t>
  </si>
  <si>
    <t>TOTAL DAS DESPESAS COM AÇÕES E SERVIÇOS PÚBLICOS DE SAÚDE                 (VI) = (IV-V)</t>
  </si>
  <si>
    <t>PERCENTUAL DE APLICAÇÃO EM AÇÕES E SERVIÇOS PÚBLICOS DE SAÚDE SOBRE A RECEITA DE IMPOSTOS LÍQUIDA E TRANSFERÊNCIAS CONSTITUCIONAIS E LEGAIS (VII%) = (VIh/IIIb x 100) - LIMITE CONSTITUCIONAL 15% 4 e 5</t>
  </si>
  <si>
    <t xml:space="preserve">                           DEMONSTRATIVO DAS RECEITAS E DESPESAS COM AÇÕES E SERVIÇOS PÚBLICOS DE SAÚDE</t>
  </si>
  <si>
    <t>EXECUÇÃO DE RESTOS A PAGAR INSCRITOS COM DISPONIBILIDADE DE CAIXA</t>
  </si>
  <si>
    <t>INSCRITOS</t>
  </si>
  <si>
    <t>PAGOS</t>
  </si>
  <si>
    <t>A PAGAR</t>
  </si>
  <si>
    <t>PARCELA CONSIDERADA NO LIMITE</t>
  </si>
  <si>
    <t xml:space="preserve"> Exercício de 2011</t>
  </si>
  <si>
    <t>Saldo Inicial</t>
  </si>
  <si>
    <t>Despesas Custeadas no Exercício de Referência              (j)</t>
  </si>
  <si>
    <t>Saldo Final  (Não Aplicado)</t>
  </si>
  <si>
    <t>TOTAL (VIII)</t>
  </si>
  <si>
    <t>Despesas Custeadas no Exercício de Referência              (k)</t>
  </si>
  <si>
    <t xml:space="preserve"> Exercício de 2010</t>
  </si>
  <si>
    <t xml:space="preserve"> Exercício de 2012</t>
  </si>
  <si>
    <t>TOTAL (IX)</t>
  </si>
  <si>
    <t>DESPESAS COM SAÚDE  ( Por Subfunção )</t>
  </si>
  <si>
    <t>1 - Essa linha apresentará valor somente no RREO do último Bimestre do Exercício</t>
  </si>
  <si>
    <t>3 - O valor apresentado na intercessão com a coluna "h" ou com a coluna "h+i" (último bimestre) deverá ser o mesmo apresentado no "total k"</t>
  </si>
  <si>
    <t>2 - O valor apresentado na intercessão com a coluna "h" ou com a coluna "h+i" (último bimestre) deverá ser o mesmo apresentado no "total j"</t>
  </si>
  <si>
    <t>4 - Limite anual mínimo a ser cumprido no encerramento do exercício.</t>
  </si>
  <si>
    <t>5 - Durante o exercício esse valor servirá para o monitoramento previsto no art. 23 da LC 141/2012</t>
  </si>
  <si>
    <t xml:space="preserve">    Direitos Futuros</t>
  </si>
  <si>
    <t xml:space="preserve">   Receitas Realizadas </t>
  </si>
  <si>
    <t xml:space="preserve">   Deficit Orçamentário</t>
  </si>
  <si>
    <t xml:space="preserve">   Dotação Inicial</t>
  </si>
  <si>
    <t xml:space="preserve">   Créditos Adicionais</t>
  </si>
  <si>
    <t xml:space="preserve">   Dotação Atualizada</t>
  </si>
  <si>
    <t xml:space="preserve">   Despesas Empenhadas</t>
  </si>
  <si>
    <t xml:space="preserve">   Despesas Liquidadas</t>
  </si>
  <si>
    <t xml:space="preserve">   Superavit Orçamentário</t>
  </si>
  <si>
    <t xml:space="preserve">   Previsão Inicial </t>
  </si>
  <si>
    <t xml:space="preserve">   Previsão Atualizada</t>
  </si>
  <si>
    <t xml:space="preserve">   Saldos de Exercícios Anteriores - (Utilizados para Créditos Adicionais)</t>
  </si>
  <si>
    <t>RECEITAS E DESPESAS DOS REGIMES DE PREVIDÊNCIA</t>
  </si>
  <si>
    <t xml:space="preserve">   Receitas Previdenciárias Realizadas (I)</t>
  </si>
  <si>
    <t xml:space="preserve">   Despesas Previdenciárias Liquidadas (II)</t>
  </si>
  <si>
    <t xml:space="preserve">   Resultado Previdenciário (III) = (I - II)</t>
  </si>
  <si>
    <t xml:space="preserve">   Receitas Previdenciárias Realizadas (IV)</t>
  </si>
  <si>
    <t xml:space="preserve">   Despesas Previdenciárias Liquidadas (V)</t>
  </si>
  <si>
    <t xml:space="preserve">   Resultado Previdenciário (VI) = (IV - V)</t>
  </si>
  <si>
    <t>Meta Fixada no AMF da LDO</t>
  </si>
  <si>
    <t xml:space="preserve">   Poder Executivo</t>
  </si>
  <si>
    <t xml:space="preserve">   Poder Legislativo</t>
  </si>
  <si>
    <t>% Aplicado até o Bimestre</t>
  </si>
  <si>
    <t>Mínimo Anual de &lt;18% / 25%&gt; das Receitas de Impostos em MDE</t>
  </si>
  <si>
    <t xml:space="preserve">RESTOS A PAGAR POR PODER </t>
  </si>
  <si>
    <t xml:space="preserve">    Resultado Previdenciário (III) = (I - II)</t>
  </si>
  <si>
    <t xml:space="preserve">    Resultado Previdenciário (VI) = (IV - V)</t>
  </si>
  <si>
    <t>Limite Constitucional Anual</t>
  </si>
  <si>
    <t>% Mínimo a Aplicar no Exercício</t>
  </si>
  <si>
    <t>DESPESAS COM AÇÕES E SERVIÇOS PÚBLICOS DE SAÚDE</t>
  </si>
  <si>
    <t>Despesas Próprias com Ações e Serviços Públicos de Saúde</t>
  </si>
  <si>
    <t>Resultado Apurado até o Bimestre</t>
  </si>
  <si>
    <t>Pagamento Até o Bimestre</t>
  </si>
  <si>
    <t>Cancelamento Até o Bimestre</t>
  </si>
  <si>
    <t>Saldo a Pagar</t>
  </si>
  <si>
    <t>Exercício 1</t>
  </si>
  <si>
    <t>RECEITAS (EXC. INTRA-ORÇAMENTÁRIAS) - I</t>
  </si>
  <si>
    <t xml:space="preserve">                             RREO - ANEXO 1  (LRF - Art. 52, inciso I, alíneas "a" e "b" do inciso II e §1º)  </t>
  </si>
  <si>
    <t>RECEITAS ADICIONAIS PARA FINANCIAMENTO DA SAÚDE</t>
  </si>
  <si>
    <t>Outras Deduções</t>
  </si>
  <si>
    <t xml:space="preserve">   Direitos individuais, colet. e difusos</t>
  </si>
  <si>
    <t>Contribuições Econômicas - Custeio IP</t>
  </si>
  <si>
    <t xml:space="preserve">                              RELATÓRIO RESUMIDO DA EXECUÇÃO ORÇAMENTÁRIA</t>
  </si>
  <si>
    <t xml:space="preserve">                              BALANÇO ORÇAMENTÁRIO - PREFEITURA MUNICIPAL DE SÃO LUÍS (MA)</t>
  </si>
  <si>
    <t xml:space="preserve">                              ORÇAMENTOS FISCAL E DA SEGURIDADE SOCIAL</t>
  </si>
  <si>
    <t>META DE RES. NOMINAL FIXADA NO ANEXO DE METAS FISCAIS DA LDO PARA O EXERCÍCIO DE REFERÊNCIA</t>
  </si>
  <si>
    <t xml:space="preserve">          Secretaria Municipal de Meio-Ambiente</t>
  </si>
  <si>
    <t xml:space="preserve">PREFEITURA MUNICIPAL DE SÃO LUÍS </t>
  </si>
  <si>
    <t>Fevereiro-2014</t>
  </si>
  <si>
    <t xml:space="preserve"> Exercício de 2013</t>
  </si>
  <si>
    <t xml:space="preserve">   Transporte Hidroviário</t>
  </si>
  <si>
    <t xml:space="preserve">   Assistência criança e ao adolescente</t>
  </si>
  <si>
    <t xml:space="preserve">   Proteção e Benefício ao Trabalhador</t>
  </si>
  <si>
    <t xml:space="preserve">   Difusão Conhec. Cient. Tecnológico</t>
  </si>
  <si>
    <t xml:space="preserve">   Promoção da Produção Animal</t>
  </si>
  <si>
    <t xml:space="preserve"> COMUNICAÇÕES</t>
  </si>
  <si>
    <t xml:space="preserve">    Comunicação Social</t>
  </si>
  <si>
    <t xml:space="preserve">   Reserva de Contingência RPPS</t>
  </si>
  <si>
    <t>Mínimo Anual de 60% do FUNDEB na Remun. do Mag.com Ensino Fundamental e Médio</t>
  </si>
  <si>
    <t>Mínimo Anual de 60% do FUNDEB na Remun. Mag. com Educ. Infantil e Ens.Fundamental</t>
  </si>
  <si>
    <t>Complementação da União ao FUNDEB - Min. Anual de 10%  Total de Rec. do FUNDEB</t>
  </si>
  <si>
    <t>RREO - ANEXO 3 (LRF - Art. 53, Inciso I)</t>
  </si>
  <si>
    <t>Até o Bimestre 2014</t>
  </si>
  <si>
    <t>Julho-2014</t>
  </si>
  <si>
    <t>Agosto-2014</t>
  </si>
  <si>
    <t xml:space="preserve">   Ação Legislativa</t>
  </si>
  <si>
    <t xml:space="preserve">          Fundo Socioambiental do Município</t>
  </si>
  <si>
    <t>Setembro-2014</t>
  </si>
  <si>
    <t>Outubro-2014</t>
  </si>
  <si>
    <t>Secretário Municipal da Fazenda</t>
  </si>
  <si>
    <t>Délcio Rodrigues e Silva Neto</t>
  </si>
  <si>
    <t>Controlador Geral do Município</t>
  </si>
  <si>
    <t>Jairo Câmara de Carvalho Filho</t>
  </si>
  <si>
    <t>Contador Geral do Município</t>
  </si>
  <si>
    <r>
      <t>Raimundo José Rodrigues do Nascimento</t>
    </r>
    <r>
      <rPr>
        <sz val="10"/>
        <rFont val="Arial"/>
        <family val="2"/>
      </rPr>
      <t xml:space="preserve"> </t>
    </r>
  </si>
  <si>
    <t>Novembro-2014</t>
  </si>
  <si>
    <t>Dezembro-2014</t>
  </si>
  <si>
    <t>Em 31 de     Dezembro  2014</t>
  </si>
  <si>
    <t>Em 31 de Dezembro  2014</t>
  </si>
  <si>
    <t xml:space="preserve"> Exercício de 2014</t>
  </si>
  <si>
    <t xml:space="preserve">        Outras</t>
  </si>
  <si>
    <t>DESPESAS COM SAÚDE NÃO COMPUTADAS PARA FINS                                       DE APURAÇÃO DO PERCENTUAL MÍNIMO</t>
  </si>
  <si>
    <t xml:space="preserve">DOTAÇÃO ATUALIZADA                                              </t>
  </si>
  <si>
    <t>Janeiro-2015</t>
  </si>
  <si>
    <t xml:space="preserve">Até o Bimestre </t>
  </si>
  <si>
    <t>Em 31 Dezembro 2014</t>
  </si>
  <si>
    <t>47- SALDO FINANCEIRO DO FUNDEB EM 31 DE DEZEMBRO DE 2014</t>
  </si>
  <si>
    <t>DESPESA LIQUIDADAS</t>
  </si>
  <si>
    <t>No Exercício</t>
  </si>
  <si>
    <t>APORTES REALIZADOS</t>
  </si>
  <si>
    <t>No Exercício Anterior</t>
  </si>
  <si>
    <t>Exercício Anterior</t>
  </si>
  <si>
    <t>DEPESAS LIQUIDADAS</t>
  </si>
  <si>
    <t>META DE RESULTADO PRIMÁRIO FIXADA NO ANEXO DE METAS FISCAIS DA LDO PARA O EXERCÍCIO DE REFERÊNCIA</t>
  </si>
  <si>
    <t>VALOR CORRENTE</t>
  </si>
  <si>
    <t>Até o Bimestre do Exercício Anterior</t>
  </si>
  <si>
    <t>Saldo                         (b)</t>
  </si>
  <si>
    <t>Saldo                        (a)</t>
  </si>
  <si>
    <t>SALDO TOTAL  (a+b)</t>
  </si>
  <si>
    <t>Até o bimestre                                                 (b)</t>
  </si>
  <si>
    <t xml:space="preserve">     5.2  Transferências Diretas - PDDE</t>
  </si>
  <si>
    <t xml:space="preserve">     5.4  Transferências Diretas PNATE  </t>
  </si>
  <si>
    <t xml:space="preserve">     5.5 Outras Transferências do FNDE</t>
  </si>
  <si>
    <t xml:space="preserve">     5.6 Aplicação Financeira dos Recursos do FNDE</t>
  </si>
  <si>
    <t>8. Outras Receitas para Financiamento do Ensino</t>
  </si>
  <si>
    <t>Até o Bimestre (e)</t>
  </si>
  <si>
    <t>%               f=(e/d)x100</t>
  </si>
  <si>
    <t>DOTAÇÃO           INICIAL</t>
  </si>
  <si>
    <t>Até o Bimestre          (g)</t>
  </si>
  <si>
    <t>%                                 h=(g/d)x100</t>
  </si>
  <si>
    <t>c = (b/a)x100</t>
  </si>
  <si>
    <t>16.1 - FUNDEB 60%</t>
  </si>
  <si>
    <t>16.2 - FUNDEB 40%</t>
  </si>
  <si>
    <t>17.1 - FUNDEB 60%</t>
  </si>
  <si>
    <t>17.2 - FUNDEB 40%</t>
  </si>
  <si>
    <t>INDICADORES DO FUNDEB</t>
  </si>
  <si>
    <t>19 - TOTAL DAS DESPESAS DO FUNDEB PARA FINS DE LIMITE (15-18)</t>
  </si>
  <si>
    <t xml:space="preserve">19.1 - MÍNIMO DE 60% DO FUNDEB NA REMUNERAÇÃO DO MAGISTÉRIO  (13 – (16.1+17.1)) / (11) x 100)% </t>
  </si>
  <si>
    <t>19.2 - MÁXIMO DE 40% EM DESPESAS COM MDE, QUE NÃO REMUNERAÇÃO DO MAGISTÉRIO (14-(16.2+17.2))/(11)x(100)%</t>
  </si>
  <si>
    <t>19.3 - MÁXIMO DE 5% NÃO APLICADO NO EXERCÍCIO (100-(19.1+19.2))%</t>
  </si>
  <si>
    <t>21 – DESPESAS CUSTEADAS COM O SALDO DO ITEM 20 ATÉ O 1º TRIMESTRE DE 2015</t>
  </si>
  <si>
    <t>MDE - DESPESAS CUSTEADAS COM A RECEITA RESULTANTE DE IMPOSTOS E RECURSOS DO FUNDEB</t>
  </si>
  <si>
    <t xml:space="preserve">    23.1.1 - Despesas Custeadas com Recursos do FUNDEB </t>
  </si>
  <si>
    <t xml:space="preserve">    23.1.2 - Despesas Custeadas com Outros Recursos de Impostos</t>
  </si>
  <si>
    <t xml:space="preserve">  23.1 - Creche</t>
  </si>
  <si>
    <t xml:space="preserve">  23.2 - Pré-Escola</t>
  </si>
  <si>
    <t xml:space="preserve">    23.2.1 - Despesas Custeadas com Recursos do FUNDEB </t>
  </si>
  <si>
    <t xml:space="preserve">    23.2.2 - Despesas Custeadas com Outros Recursos de Impostos</t>
  </si>
  <si>
    <t>(h) = (g/d)x100</t>
  </si>
  <si>
    <t>OUTRAS DESPESAS CUSTEADAS COM RECEITAS ADICIONAIS PARA FINANCIAM. DO ENSINO</t>
  </si>
  <si>
    <t>44- TOTAL DAS OUTRAS DESPESAS CUSTEADAS COM RECEITAS DESTINADAS AO ENSINO (soma de 40 a 43)</t>
  </si>
  <si>
    <t>CANCELADO EM 2015 (j)</t>
  </si>
  <si>
    <t>46.1 - Executadas com Recursos de Impostos Vinculados ao Ensino</t>
  </si>
  <si>
    <t>46.2 - Executados com Recursos do FUNDEB</t>
  </si>
  <si>
    <t xml:space="preserve">      49.1 - Orçamento do Exercício</t>
  </si>
  <si>
    <t xml:space="preserve">      49.2 -  Restos a Pagar</t>
  </si>
  <si>
    <t>INSCRITAS EM RPNP                (i)</t>
  </si>
  <si>
    <t xml:space="preserve">                                 ORÇAMENTOS FISCAL E DA SEGURIDADE SOCIAL</t>
  </si>
  <si>
    <t xml:space="preserve">         DEMONSTRATIVO DAS RECEITAS E DESPESAS COM MANUTENÇÃO E DESENVOLVIMENTO DO ENSINO - MDE</t>
  </si>
  <si>
    <t xml:space="preserve">             DEMONSTRATIVO DAS RECEITAS E DESPESAS COM MANUTENÇÃO E DESENVOLVIMENTO DO ENSINO - MDE</t>
  </si>
  <si>
    <t>Até o Bimestre                                  (b)</t>
  </si>
  <si>
    <t>Até o Bimestre    (f)</t>
  </si>
  <si>
    <t>% (f/e)x100</t>
  </si>
  <si>
    <t>Até o Bimestre    (g)</t>
  </si>
  <si>
    <t>%        (g/e)x100</t>
  </si>
  <si>
    <t>Até o Bimestre    (h)</t>
  </si>
  <si>
    <t>% (h/IVf)x100</t>
  </si>
  <si>
    <t>Até o Bimestre    (i)</t>
  </si>
  <si>
    <t>%        (i/IVg)x100</t>
  </si>
  <si>
    <t>RESTOS A PAGAR CANCELADOS OU PRESCRITOS</t>
  </si>
  <si>
    <t>%                                                                      (d/c) x 100</t>
  </si>
  <si>
    <t xml:space="preserve"> LIMITE NÃO CUMPRIDO</t>
  </si>
  <si>
    <t>Até o Bimestre    (l)</t>
  </si>
  <si>
    <t>Até o Bimestre    (m)</t>
  </si>
  <si>
    <t>%       (l/total l)x100</t>
  </si>
  <si>
    <t>%        (m/total m)x100</t>
  </si>
  <si>
    <t>VALOR REFERENTE À DIFERENÇA ENTRE O VALOR EXECUTADO E O LIMITE MÍNIMO CONSTITUCIONAL [(VIi - ( 15 x IIIb]/100</t>
  </si>
  <si>
    <t>REGISTROS EFETUADOS EM 2015</t>
  </si>
  <si>
    <t>DESPESAS COM MANUTENÇÃO E DESENVOLVIMENTO DO ENSINO</t>
  </si>
  <si>
    <t>PREVISÃO ATUALIZADA  2015</t>
  </si>
  <si>
    <t xml:space="preserve">     5.3  Transferências Diretas PNAE</t>
  </si>
  <si>
    <t>INSCRITAS EM RPNP                              (i)</t>
  </si>
  <si>
    <t>INSCRITAS EM RPNP                             (i)</t>
  </si>
  <si>
    <t xml:space="preserve">DEDUÇÕES PARA FINS DO LIMITE DO FUNDEB </t>
  </si>
  <si>
    <t>20 – RECURSOS RECEBIDOS DO FUNDEB EM 2014 QUE NÃO FORAM UTILIZADOS</t>
  </si>
  <si>
    <t>DESPESAS COM SAÚDE                                                                                                       (Por Grupo de Natureza da Despesa)</t>
  </si>
  <si>
    <t>CANCELADOS  / PRESCRITOS</t>
  </si>
  <si>
    <t>CONTROLE DOS RESTOS A PAGAR CANCELADOS OU PRESCRITOS  PARA FINS DE APLICAÇÃO DA DISPONIBILIDADE DE CAIXA CONFORME ARTIGO 24, § 1º e 2º</t>
  </si>
  <si>
    <t>CONTROLE DO VALOR REFERENTE AO PERCENTUAL MÍNIMO NÃO CUMPRIDO EM EXERCÍCIOS ANTERIORES PARA FINS DE APLICAÇÃO DOS RECURSOS VINCULADOS CONFORME ARTIGOS 25 e 26</t>
  </si>
  <si>
    <t>Março-2015</t>
  </si>
  <si>
    <t>Abril-2015</t>
  </si>
  <si>
    <t>Até o bimestre (b)</t>
  </si>
  <si>
    <t xml:space="preserve"> (f) </t>
  </si>
  <si>
    <t xml:space="preserve"> (g)=(e-f) </t>
  </si>
  <si>
    <t xml:space="preserve"> DESPESAS LIQUIDADAS</t>
  </si>
  <si>
    <t>(i)=(e-h)</t>
  </si>
  <si>
    <t>DESPESAS PAGAS ATÉ O BIMESTRE</t>
  </si>
  <si>
    <t>(j)</t>
  </si>
  <si>
    <t xml:space="preserve"> (k) </t>
  </si>
  <si>
    <t xml:space="preserve"> Até o Bimestre </t>
  </si>
  <si>
    <t>SALDO                       (c) = (a-b)</t>
  </si>
  <si>
    <t>(d/total d)</t>
  </si>
  <si>
    <t>(e) = (a-d)</t>
  </si>
  <si>
    <t>(f)</t>
  </si>
  <si>
    <t>DESPESA INTRA-ORÇAM. (II)</t>
  </si>
  <si>
    <t xml:space="preserve">   Despesas Pagas</t>
  </si>
  <si>
    <t>Referência: JANEIRO-JUNHO/2015; BIMESTRE: MAIO-JUNHO/2015</t>
  </si>
  <si>
    <t xml:space="preserve">                            REFERÊNCIA: JANEIRO-JUNHO; BIMESTRE: MAIO-JUNHO/2015</t>
  </si>
  <si>
    <t>Maio-2015</t>
  </si>
  <si>
    <t>Junho-2015</t>
  </si>
  <si>
    <t>Publicação: Diário Oficial do Município nº 140</t>
  </si>
  <si>
    <t>Data: 30/07/2015</t>
  </si>
  <si>
    <t xml:space="preserve">  São Luís, 30 de Julho de 2015</t>
  </si>
  <si>
    <t>Data:30/07/2015</t>
  </si>
  <si>
    <t>Em 2015</t>
  </si>
  <si>
    <t>Em 2014</t>
  </si>
  <si>
    <t xml:space="preserve">RESULTADO PRIMÁRIO (XIX) = (VII - XVIII) 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</si>
</sst>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&quot;R$ &quot;#,##0.00_);[Red]&quot;(R$ &quot;#,##0.00\)"/>
    <numFmt numFmtId="167" formatCode="#,##0.00;[Red]#,##0.00"/>
    <numFmt numFmtId="168" formatCode="0.00_);[Red]\(0.00\)"/>
    <numFmt numFmtId="169" formatCode="mm/yy"/>
    <numFmt numFmtId="170" formatCode="&quot;R$ &quot;#,##0.00_);[Red]\(&quot;R$ &quot;#,##0.00\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_(* #,##0.0_);_(* \(#,##0.0\);_(* \-??_);_(@_)"/>
    <numFmt numFmtId="176" formatCode="[$-416]dddd\,\ d&quot; de &quot;mmmm&quot; de &quot;yyyy"/>
    <numFmt numFmtId="177" formatCode="#,##0.00_ ;[Red]\-#,##0.00\ "/>
    <numFmt numFmtId="178" formatCode="&quot;R$&quot;\ #,##0.00"/>
    <numFmt numFmtId="179" formatCode="0.0000"/>
    <numFmt numFmtId="180" formatCode="0.000"/>
    <numFmt numFmtId="181" formatCode="0.000%"/>
    <numFmt numFmtId="182" formatCode="0.0000%"/>
    <numFmt numFmtId="183" formatCode="0.00000%"/>
    <numFmt numFmtId="184" formatCode="0.0%"/>
    <numFmt numFmtId="185" formatCode="0.0000000"/>
    <numFmt numFmtId="186" formatCode="0.000000"/>
    <numFmt numFmtId="187" formatCode="0.00000"/>
    <numFmt numFmtId="188" formatCode="#,##0.0;\-#,##0.0"/>
    <numFmt numFmtId="189" formatCode="0.000000000"/>
    <numFmt numFmtId="190" formatCode="0.0000000000"/>
    <numFmt numFmtId="191" formatCode="0.00000000"/>
    <numFmt numFmtId="192" formatCode="_(* #,##0_);_(* \(#,##0\);_(* \-??_);_(@_)"/>
  </numFmts>
  <fonts count="9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ahoma"/>
      <family val="2"/>
    </font>
    <font>
      <sz val="11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sz val="12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vertAlign val="superscript"/>
      <sz val="8"/>
      <name val="Times New Roman"/>
      <family val="1"/>
    </font>
    <font>
      <sz val="9"/>
      <color indexed="8"/>
      <name val="Times New Roman"/>
      <family val="1"/>
    </font>
    <font>
      <sz val="8"/>
      <color indexed="10"/>
      <name val="Arial"/>
      <family val="2"/>
    </font>
    <font>
      <b/>
      <sz val="9"/>
      <name val="Tahoma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u val="single"/>
      <sz val="10"/>
      <name val="Times New Roman"/>
      <family val="1"/>
    </font>
    <font>
      <b/>
      <sz val="12"/>
      <name val="Arial"/>
      <family val="2"/>
    </font>
    <font>
      <b/>
      <sz val="6"/>
      <name val="Times New Roman"/>
      <family val="1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b/>
      <sz val="11"/>
      <color indexed="30"/>
      <name val="Arial"/>
      <family val="2"/>
    </font>
    <font>
      <sz val="8"/>
      <color indexed="10"/>
      <name val="Times New Roman"/>
      <family val="1"/>
    </font>
    <font>
      <sz val="8"/>
      <color indexed="17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b/>
      <sz val="11"/>
      <color rgb="FF0070C0"/>
      <name val="Arial"/>
      <family val="2"/>
    </font>
    <font>
      <sz val="8"/>
      <color rgb="FFFF0000"/>
      <name val="Times New Roman"/>
      <family val="1"/>
    </font>
    <font>
      <sz val="8"/>
      <color rgb="FF00B05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FF0000"/>
      <name val="Times New Roman"/>
      <family val="1"/>
    </font>
    <font>
      <b/>
      <sz val="8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/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4" fillId="29" borderId="1" applyNumberFormat="0" applyAlignment="0" applyProtection="0"/>
    <xf numFmtId="0" fontId="7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21" borderId="5" applyNumberFormat="0" applyAlignment="0" applyProtection="0"/>
    <xf numFmtId="165" fontId="0" fillId="0" borderId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72" fontId="0" fillId="0" borderId="0" applyFill="0" applyBorder="0" applyAlignment="0" applyProtection="0"/>
    <xf numFmtId="171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</cellStyleXfs>
  <cellXfs count="2265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165" fontId="2" fillId="0" borderId="0" xfId="57" applyFont="1" applyFill="1" applyBorder="1" applyAlignment="1" applyProtection="1">
      <alignment/>
      <protection/>
    </xf>
    <xf numFmtId="0" fontId="2" fillId="0" borderId="0" xfId="0" applyNumberFormat="1" applyFont="1" applyBorder="1" applyAlignment="1">
      <alignment/>
    </xf>
    <xf numFmtId="165" fontId="3" fillId="0" borderId="0" xfId="57" applyFont="1" applyFill="1" applyBorder="1" applyAlignment="1" applyProtection="1">
      <alignment horizontal="center" vertical="center"/>
      <protection/>
    </xf>
    <xf numFmtId="0" fontId="2" fillId="0" borderId="0" xfId="0" applyNumberFormat="1" applyFont="1" applyAlignment="1">
      <alignment horizontal="center"/>
    </xf>
    <xf numFmtId="165" fontId="3" fillId="0" borderId="0" xfId="57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>
      <alignment horizontal="left" indent="7"/>
    </xf>
    <xf numFmtId="165" fontId="3" fillId="0" borderId="0" xfId="57" applyFont="1" applyFill="1" applyBorder="1" applyAlignment="1" applyProtection="1">
      <alignment horizontal="right"/>
      <protection/>
    </xf>
    <xf numFmtId="165" fontId="3" fillId="0" borderId="0" xfId="57" applyFont="1" applyFill="1" applyBorder="1" applyAlignment="1" applyProtection="1">
      <alignment horizontal="center"/>
      <protection/>
    </xf>
    <xf numFmtId="166" fontId="3" fillId="0" borderId="0" xfId="57" applyNumberFormat="1" applyFont="1" applyFill="1" applyBorder="1" applyAlignment="1" applyProtection="1">
      <alignment horizontal="right"/>
      <protection/>
    </xf>
    <xf numFmtId="165" fontId="3" fillId="0" borderId="10" xfId="57" applyFont="1" applyFill="1" applyBorder="1" applyAlignment="1" applyProtection="1">
      <alignment horizontal="center" vertical="center"/>
      <protection/>
    </xf>
    <xf numFmtId="165" fontId="3" fillId="0" borderId="11" xfId="57" applyFont="1" applyFill="1" applyBorder="1" applyAlignment="1" applyProtection="1">
      <alignment horizontal="center"/>
      <protection/>
    </xf>
    <xf numFmtId="165" fontId="3" fillId="0" borderId="12" xfId="57" applyFont="1" applyFill="1" applyBorder="1" applyAlignment="1" applyProtection="1">
      <alignment horizontal="center" vertical="center" wrapText="1"/>
      <protection/>
    </xf>
    <xf numFmtId="165" fontId="3" fillId="0" borderId="13" xfId="57" applyFont="1" applyFill="1" applyBorder="1" applyAlignment="1" applyProtection="1">
      <alignment horizontal="center" vertical="center" wrapText="1"/>
      <protection/>
    </xf>
    <xf numFmtId="165" fontId="3" fillId="0" borderId="14" xfId="57" applyFont="1" applyFill="1" applyBorder="1" applyAlignment="1" applyProtection="1">
      <alignment horizontal="center" vertical="center" wrapText="1"/>
      <protection/>
    </xf>
    <xf numFmtId="165" fontId="4" fillId="0" borderId="15" xfId="57" applyFont="1" applyFill="1" applyBorder="1" applyAlignment="1" applyProtection="1">
      <alignment horizontal="center" vertical="center" wrapText="1"/>
      <protection/>
    </xf>
    <xf numFmtId="165" fontId="4" fillId="0" borderId="16" xfId="57" applyFont="1" applyFill="1" applyBorder="1" applyAlignment="1" applyProtection="1">
      <alignment horizontal="center" vertical="center" wrapText="1"/>
      <protection/>
    </xf>
    <xf numFmtId="165" fontId="4" fillId="0" borderId="15" xfId="57" applyFont="1" applyFill="1" applyBorder="1" applyAlignment="1" applyProtection="1">
      <alignment horizontal="left" vertical="center"/>
      <protection/>
    </xf>
    <xf numFmtId="165" fontId="4" fillId="0" borderId="16" xfId="57" applyFont="1" applyFill="1" applyBorder="1" applyAlignment="1" applyProtection="1">
      <alignment horizontal="left" vertical="center"/>
      <protection/>
    </xf>
    <xf numFmtId="49" fontId="4" fillId="0" borderId="17" xfId="0" applyNumberFormat="1" applyFont="1" applyFill="1" applyBorder="1" applyAlignment="1">
      <alignment horizontal="left" vertical="center"/>
    </xf>
    <xf numFmtId="165" fontId="4" fillId="0" borderId="18" xfId="57" applyFont="1" applyFill="1" applyBorder="1" applyAlignment="1" applyProtection="1">
      <alignment horizontal="left" vertical="center"/>
      <protection/>
    </xf>
    <xf numFmtId="165" fontId="4" fillId="0" borderId="0" xfId="57" applyFont="1" applyFill="1" applyBorder="1" applyAlignment="1" applyProtection="1">
      <alignment horizontal="left" vertical="center"/>
      <protection/>
    </xf>
    <xf numFmtId="165" fontId="4" fillId="0" borderId="12" xfId="57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165" fontId="3" fillId="0" borderId="18" xfId="57" applyFont="1" applyFill="1" applyBorder="1" applyAlignment="1" applyProtection="1">
      <alignment horizontal="left" vertical="center"/>
      <protection/>
    </xf>
    <xf numFmtId="165" fontId="3" fillId="0" borderId="0" xfId="57" applyFont="1" applyFill="1" applyBorder="1" applyAlignment="1" applyProtection="1">
      <alignment horizontal="left" vertical="center"/>
      <protection/>
    </xf>
    <xf numFmtId="165" fontId="3" fillId="0" borderId="12" xfId="57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49" fontId="3" fillId="0" borderId="17" xfId="0" applyNumberFormat="1" applyFont="1" applyFill="1" applyBorder="1" applyAlignment="1">
      <alignment horizontal="left" vertical="center" indent="2"/>
    </xf>
    <xf numFmtId="165" fontId="3" fillId="0" borderId="18" xfId="57" applyFont="1" applyFill="1" applyBorder="1" applyAlignment="1" applyProtection="1">
      <alignment horizontal="right" vertical="center"/>
      <protection/>
    </xf>
    <xf numFmtId="165" fontId="3" fillId="0" borderId="12" xfId="57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Alignment="1">
      <alignment horizontal="center"/>
    </xf>
    <xf numFmtId="165" fontId="4" fillId="0" borderId="18" xfId="57" applyFont="1" applyFill="1" applyBorder="1" applyAlignment="1" applyProtection="1">
      <alignment horizontal="right" vertical="center"/>
      <protection/>
    </xf>
    <xf numFmtId="165" fontId="4" fillId="0" borderId="12" xfId="57" applyFont="1" applyFill="1" applyBorder="1" applyAlignment="1" applyProtection="1">
      <alignment horizontal="left" vertical="center" wrapText="1"/>
      <protection/>
    </xf>
    <xf numFmtId="165" fontId="2" fillId="0" borderId="0" xfId="0" applyNumberFormat="1" applyFont="1" applyFill="1" applyAlignment="1">
      <alignment/>
    </xf>
    <xf numFmtId="49" fontId="4" fillId="0" borderId="11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Alignment="1">
      <alignment horizontal="center"/>
    </xf>
    <xf numFmtId="0" fontId="4" fillId="0" borderId="19" xfId="0" applyNumberFormat="1" applyFont="1" applyFill="1" applyBorder="1" applyAlignment="1">
      <alignment horizontal="left" vertical="center"/>
    </xf>
    <xf numFmtId="165" fontId="4" fillId="0" borderId="20" xfId="57" applyFont="1" applyFill="1" applyBorder="1" applyAlignment="1" applyProtection="1">
      <alignment horizontal="right" vertical="center"/>
      <protection/>
    </xf>
    <xf numFmtId="0" fontId="4" fillId="0" borderId="17" xfId="0" applyNumberFormat="1" applyFont="1" applyFill="1" applyBorder="1" applyAlignment="1">
      <alignment horizontal="left" vertical="center" indent="2"/>
    </xf>
    <xf numFmtId="165" fontId="4" fillId="0" borderId="12" xfId="57" applyFont="1" applyFill="1" applyBorder="1" applyAlignment="1" applyProtection="1">
      <alignment horizontal="right" vertical="center"/>
      <protection/>
    </xf>
    <xf numFmtId="165" fontId="4" fillId="0" borderId="0" xfId="57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>
      <alignment horizontal="left" vertical="center" indent="5"/>
    </xf>
    <xf numFmtId="165" fontId="3" fillId="0" borderId="12" xfId="57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>
      <alignment horizontal="center"/>
    </xf>
    <xf numFmtId="165" fontId="3" fillId="0" borderId="14" xfId="57" applyFont="1" applyFill="1" applyBorder="1" applyAlignment="1" applyProtection="1">
      <alignment horizontal="right" vertical="center"/>
      <protection/>
    </xf>
    <xf numFmtId="165" fontId="3" fillId="0" borderId="14" xfId="57" applyFont="1" applyFill="1" applyBorder="1" applyAlignment="1" applyProtection="1">
      <alignment horizontal="left" vertical="center"/>
      <protection/>
    </xf>
    <xf numFmtId="165" fontId="4" fillId="0" borderId="11" xfId="57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>
      <alignment horizontal="left" vertical="center"/>
    </xf>
    <xf numFmtId="165" fontId="4" fillId="0" borderId="21" xfId="57" applyFont="1" applyFill="1" applyBorder="1" applyAlignment="1" applyProtection="1">
      <alignment horizontal="right" vertical="center"/>
      <protection/>
    </xf>
    <xf numFmtId="165" fontId="4" fillId="0" borderId="22" xfId="57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165" fontId="4" fillId="0" borderId="15" xfId="57" applyFont="1" applyFill="1" applyBorder="1" applyAlignment="1" applyProtection="1">
      <alignment horizontal="right" vertical="center"/>
      <protection/>
    </xf>
    <xf numFmtId="165" fontId="4" fillId="0" borderId="16" xfId="57" applyFont="1" applyFill="1" applyBorder="1" applyAlignment="1" applyProtection="1">
      <alignment horizontal="right" vertical="center"/>
      <protection/>
    </xf>
    <xf numFmtId="165" fontId="4" fillId="0" borderId="13" xfId="57" applyFont="1" applyFill="1" applyBorder="1" applyAlignment="1" applyProtection="1">
      <alignment horizontal="left" vertical="center"/>
      <protection/>
    </xf>
    <xf numFmtId="165" fontId="4" fillId="0" borderId="14" xfId="57" applyFont="1" applyFill="1" applyBorder="1" applyAlignment="1" applyProtection="1">
      <alignment horizontal="left" vertical="center"/>
      <protection/>
    </xf>
    <xf numFmtId="165" fontId="3" fillId="0" borderId="0" xfId="0" applyNumberFormat="1" applyFont="1" applyFill="1" applyAlignment="1">
      <alignment horizontal="center"/>
    </xf>
    <xf numFmtId="165" fontId="3" fillId="0" borderId="22" xfId="57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 indent="7"/>
    </xf>
    <xf numFmtId="0" fontId="4" fillId="0" borderId="0" xfId="0" applyFont="1" applyFill="1" applyAlignment="1">
      <alignment horizontal="left" indent="7"/>
    </xf>
    <xf numFmtId="0" fontId="3" fillId="0" borderId="0" xfId="0" applyFont="1" applyFill="1" applyAlignment="1">
      <alignment horizontal="left" indent="7"/>
    </xf>
    <xf numFmtId="49" fontId="3" fillId="0" borderId="0" xfId="0" applyNumberFormat="1" applyFont="1" applyFill="1" applyAlignment="1">
      <alignment/>
    </xf>
    <xf numFmtId="165" fontId="3" fillId="0" borderId="23" xfId="57" applyFont="1" applyFill="1" applyBorder="1" applyAlignment="1" applyProtection="1">
      <alignment horizontal="center"/>
      <protection/>
    </xf>
    <xf numFmtId="0" fontId="3" fillId="0" borderId="22" xfId="0" applyNumberFormat="1" applyFont="1" applyFill="1" applyBorder="1" applyAlignment="1">
      <alignment/>
    </xf>
    <xf numFmtId="165" fontId="3" fillId="0" borderId="21" xfId="57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>
      <alignment/>
    </xf>
    <xf numFmtId="165" fontId="3" fillId="0" borderId="18" xfId="57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>
      <alignment horizontal="center" vertical="center"/>
    </xf>
    <xf numFmtId="165" fontId="3" fillId="0" borderId="18" xfId="57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>
      <alignment horizontal="center" vertical="top"/>
    </xf>
    <xf numFmtId="165" fontId="3" fillId="0" borderId="13" xfId="57" applyFont="1" applyFill="1" applyBorder="1" applyAlignment="1" applyProtection="1">
      <alignment horizontal="center"/>
      <protection/>
    </xf>
    <xf numFmtId="165" fontId="3" fillId="0" borderId="12" xfId="57" applyFont="1" applyFill="1" applyBorder="1" applyAlignment="1" applyProtection="1">
      <alignment horizontal="center" vertical="top"/>
      <protection/>
    </xf>
    <xf numFmtId="165" fontId="4" fillId="0" borderId="18" xfId="57" applyFont="1" applyFill="1" applyBorder="1" applyAlignment="1" applyProtection="1">
      <alignment horizontal="center"/>
      <protection/>
    </xf>
    <xf numFmtId="165" fontId="3" fillId="0" borderId="12" xfId="57" applyFont="1" applyFill="1" applyBorder="1" applyAlignment="1" applyProtection="1">
      <alignment horizontal="center"/>
      <protection/>
    </xf>
    <xf numFmtId="165" fontId="4" fillId="0" borderId="20" xfId="57" applyFont="1" applyFill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65" fontId="4" fillId="0" borderId="18" xfId="57" applyFont="1" applyFill="1" applyBorder="1" applyAlignment="1" applyProtection="1">
      <alignment vertical="center"/>
      <protection/>
    </xf>
    <xf numFmtId="165" fontId="4" fillId="0" borderId="12" xfId="57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>
      <alignment horizontal="left" vertical="center" indent="1"/>
    </xf>
    <xf numFmtId="165" fontId="3" fillId="0" borderId="18" xfId="57" applyFont="1" applyFill="1" applyBorder="1" applyAlignment="1" applyProtection="1">
      <alignment vertical="center"/>
      <protection/>
    </xf>
    <xf numFmtId="165" fontId="3" fillId="0" borderId="12" xfId="57" applyFont="1" applyFill="1" applyBorder="1" applyAlignment="1" applyProtection="1">
      <alignment vertical="center"/>
      <protection/>
    </xf>
    <xf numFmtId="0" fontId="7" fillId="0" borderId="0" xfId="0" applyNumberFormat="1" applyFont="1" applyAlignment="1">
      <alignment/>
    </xf>
    <xf numFmtId="165" fontId="4" fillId="0" borderId="14" xfId="57" applyFont="1" applyFill="1" applyBorder="1" applyAlignment="1" applyProtection="1">
      <alignment vertical="center"/>
      <protection/>
    </xf>
    <xf numFmtId="165" fontId="4" fillId="0" borderId="16" xfId="57" applyFont="1" applyFill="1" applyBorder="1" applyAlignment="1" applyProtection="1">
      <alignment/>
      <protection/>
    </xf>
    <xf numFmtId="165" fontId="4" fillId="0" borderId="16" xfId="57" applyFont="1" applyFill="1" applyBorder="1" applyAlignment="1" applyProtection="1">
      <alignment vertical="center"/>
      <protection/>
    </xf>
    <xf numFmtId="0" fontId="7" fillId="0" borderId="0" xfId="0" applyNumberFormat="1" applyFont="1" applyAlignment="1">
      <alignment/>
    </xf>
    <xf numFmtId="165" fontId="4" fillId="0" borderId="20" xfId="57" applyFont="1" applyFill="1" applyBorder="1" applyAlignment="1" applyProtection="1">
      <alignment vertical="center"/>
      <protection/>
    </xf>
    <xf numFmtId="0" fontId="7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165" fontId="3" fillId="0" borderId="14" xfId="57" applyFont="1" applyFill="1" applyBorder="1" applyAlignment="1" applyProtection="1">
      <alignment vertical="center"/>
      <protection/>
    </xf>
    <xf numFmtId="165" fontId="3" fillId="0" borderId="14" xfId="57" applyFont="1" applyFill="1" applyBorder="1" applyAlignment="1" applyProtection="1">
      <alignment horizontal="center"/>
      <protection/>
    </xf>
    <xf numFmtId="165" fontId="4" fillId="0" borderId="13" xfId="57" applyFont="1" applyFill="1" applyBorder="1" applyAlignment="1" applyProtection="1">
      <alignment vertical="center"/>
      <protection/>
    </xf>
    <xf numFmtId="0" fontId="4" fillId="0" borderId="23" xfId="0" applyNumberFormat="1" applyFont="1" applyFill="1" applyBorder="1" applyAlignment="1">
      <alignment vertical="center"/>
    </xf>
    <xf numFmtId="165" fontId="4" fillId="0" borderId="15" xfId="57" applyFont="1" applyFill="1" applyBorder="1" applyAlignment="1" applyProtection="1">
      <alignment vertical="center"/>
      <protection/>
    </xf>
    <xf numFmtId="165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65" fontId="4" fillId="0" borderId="0" xfId="57" applyFont="1" applyFill="1" applyBorder="1" applyAlignment="1" applyProtection="1">
      <alignment vertical="center"/>
      <protection/>
    </xf>
    <xf numFmtId="165" fontId="8" fillId="0" borderId="0" xfId="57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49" fontId="17" fillId="0" borderId="0" xfId="0" applyNumberFormat="1" applyFont="1" applyFill="1" applyAlignment="1">
      <alignment horizontal="left" indent="7"/>
    </xf>
    <xf numFmtId="2" fontId="14" fillId="0" borderId="0" xfId="0" applyNumberFormat="1" applyFont="1" applyFill="1" applyBorder="1" applyAlignment="1">
      <alignment/>
    </xf>
    <xf numFmtId="0" fontId="16" fillId="0" borderId="0" xfId="0" applyNumberFormat="1" applyFont="1" applyFill="1" applyAlignment="1">
      <alignment horizontal="center"/>
    </xf>
    <xf numFmtId="0" fontId="16" fillId="0" borderId="0" xfId="0" applyNumberFormat="1" applyFont="1" applyAlignment="1">
      <alignment/>
    </xf>
    <xf numFmtId="40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4" xfId="0" applyFont="1" applyFill="1" applyBorder="1" applyAlignment="1">
      <alignment horizontal="center"/>
    </xf>
    <xf numFmtId="40" fontId="12" fillId="0" borderId="15" xfId="0" applyNumberFormat="1" applyFont="1" applyFill="1" applyBorder="1" applyAlignment="1">
      <alignment horizontal="right" vertical="center"/>
    </xf>
    <xf numFmtId="40" fontId="12" fillId="0" borderId="21" xfId="0" applyNumberFormat="1" applyFont="1" applyFill="1" applyBorder="1" applyAlignment="1">
      <alignment vertical="center"/>
    </xf>
    <xf numFmtId="40" fontId="12" fillId="0" borderId="0" xfId="0" applyNumberFormat="1" applyFont="1" applyFill="1" applyBorder="1" applyAlignment="1">
      <alignment vertical="center"/>
    </xf>
    <xf numFmtId="40" fontId="13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0" fontId="13" fillId="0" borderId="18" xfId="0" applyNumberFormat="1" applyFont="1" applyFill="1" applyBorder="1" applyAlignment="1">
      <alignment vertical="center"/>
    </xf>
    <xf numFmtId="40" fontId="13" fillId="0" borderId="0" xfId="0" applyNumberFormat="1" applyFont="1" applyFill="1" applyBorder="1" applyAlignment="1">
      <alignment vertical="center"/>
    </xf>
    <xf numFmtId="40" fontId="13" fillId="0" borderId="23" xfId="0" applyNumberFormat="1" applyFont="1" applyFill="1" applyBorder="1" applyAlignment="1">
      <alignment horizontal="left" vertical="center"/>
    </xf>
    <xf numFmtId="40" fontId="13" fillId="0" borderId="13" xfId="0" applyNumberFormat="1" applyFont="1" applyFill="1" applyBorder="1" applyAlignment="1">
      <alignment vertical="center"/>
    </xf>
    <xf numFmtId="40" fontId="13" fillId="0" borderId="14" xfId="0" applyNumberFormat="1" applyFont="1" applyFill="1" applyBorder="1" applyAlignment="1">
      <alignment vertical="center"/>
    </xf>
    <xf numFmtId="40" fontId="13" fillId="0" borderId="17" xfId="0" applyNumberFormat="1" applyFont="1" applyFill="1" applyBorder="1" applyAlignment="1">
      <alignment vertical="center"/>
    </xf>
    <xf numFmtId="40" fontId="13" fillId="0" borderId="23" xfId="0" applyNumberFormat="1" applyFont="1" applyFill="1" applyBorder="1" applyAlignment="1">
      <alignment vertical="center"/>
    </xf>
    <xf numFmtId="40" fontId="13" fillId="0" borderId="24" xfId="0" applyNumberFormat="1" applyFont="1" applyFill="1" applyBorder="1" applyAlignment="1">
      <alignment vertical="center"/>
    </xf>
    <xf numFmtId="0" fontId="13" fillId="0" borderId="0" xfId="0" applyFont="1" applyBorder="1" applyAlignment="1">
      <alignment/>
    </xf>
    <xf numFmtId="40" fontId="12" fillId="0" borderId="18" xfId="0" applyNumberFormat="1" applyFont="1" applyFill="1" applyBorder="1" applyAlignment="1">
      <alignment vertical="center"/>
    </xf>
    <xf numFmtId="40" fontId="12" fillId="0" borderId="20" xfId="0" applyNumberFormat="1" applyFont="1" applyFill="1" applyBorder="1" applyAlignment="1">
      <alignment vertical="center"/>
    </xf>
    <xf numFmtId="40" fontId="13" fillId="0" borderId="12" xfId="0" applyNumberFormat="1" applyFont="1" applyFill="1" applyBorder="1" applyAlignment="1">
      <alignment vertical="center"/>
    </xf>
    <xf numFmtId="40" fontId="12" fillId="0" borderId="21" xfId="57" applyNumberFormat="1" applyFont="1" applyFill="1" applyBorder="1" applyAlignment="1" applyProtection="1">
      <alignment horizontal="right" vertical="center"/>
      <protection/>
    </xf>
    <xf numFmtId="40" fontId="12" fillId="0" borderId="22" xfId="57" applyNumberFormat="1" applyFont="1" applyFill="1" applyBorder="1" applyAlignment="1" applyProtection="1">
      <alignment horizontal="right" vertical="center"/>
      <protection/>
    </xf>
    <xf numFmtId="40" fontId="13" fillId="0" borderId="18" xfId="57" applyNumberFormat="1" applyFont="1" applyFill="1" applyBorder="1" applyAlignment="1" applyProtection="1">
      <alignment horizontal="right" vertical="center"/>
      <protection/>
    </xf>
    <xf numFmtId="40" fontId="13" fillId="0" borderId="0" xfId="57" applyNumberFormat="1" applyFont="1" applyFill="1" applyBorder="1" applyAlignment="1" applyProtection="1">
      <alignment horizontal="right" vertical="center"/>
      <protection/>
    </xf>
    <xf numFmtId="40" fontId="12" fillId="0" borderId="12" xfId="0" applyNumberFormat="1" applyFont="1" applyFill="1" applyBorder="1" applyAlignment="1">
      <alignment vertical="center"/>
    </xf>
    <xf numFmtId="40" fontId="13" fillId="0" borderId="0" xfId="57" applyNumberFormat="1" applyFont="1" applyFill="1" applyBorder="1" applyAlignment="1" applyProtection="1">
      <alignment horizontal="left" vertical="center"/>
      <protection/>
    </xf>
    <xf numFmtId="0" fontId="15" fillId="0" borderId="0" xfId="0" applyFont="1" applyFill="1" applyAlignment="1">
      <alignment/>
    </xf>
    <xf numFmtId="40" fontId="12" fillId="0" borderId="12" xfId="57" applyNumberFormat="1" applyFont="1" applyFill="1" applyBorder="1" applyAlignment="1" applyProtection="1">
      <alignment horizontal="right" vertical="center"/>
      <protection/>
    </xf>
    <xf numFmtId="40" fontId="12" fillId="0" borderId="19" xfId="57" applyNumberFormat="1" applyFont="1" applyFill="1" applyBorder="1" applyAlignment="1" applyProtection="1">
      <alignment horizontal="right" vertical="center"/>
      <protection/>
    </xf>
    <xf numFmtId="40" fontId="12" fillId="0" borderId="12" xfId="57" applyNumberFormat="1" applyFont="1" applyFill="1" applyBorder="1" applyAlignment="1" applyProtection="1">
      <alignment vertical="center"/>
      <protection/>
    </xf>
    <xf numFmtId="40" fontId="13" fillId="0" borderId="10" xfId="0" applyNumberFormat="1" applyFont="1" applyFill="1" applyBorder="1" applyAlignment="1">
      <alignment vertical="center"/>
    </xf>
    <xf numFmtId="40" fontId="12" fillId="0" borderId="15" xfId="0" applyNumberFormat="1" applyFont="1" applyFill="1" applyBorder="1" applyAlignment="1">
      <alignment vertical="center"/>
    </xf>
    <xf numFmtId="40" fontId="12" fillId="0" borderId="16" xfId="0" applyNumberFormat="1" applyFont="1" applyFill="1" applyBorder="1" applyAlignment="1">
      <alignment vertical="center"/>
    </xf>
    <xf numFmtId="40" fontId="12" fillId="0" borderId="14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left" vertical="center"/>
    </xf>
    <xf numFmtId="167" fontId="13" fillId="0" borderId="0" xfId="0" applyNumberFormat="1" applyFont="1" applyFill="1" applyAlignment="1">
      <alignment vertical="center"/>
    </xf>
    <xf numFmtId="167" fontId="13" fillId="0" borderId="0" xfId="0" applyNumberFormat="1" applyFont="1" applyAlignment="1">
      <alignment vertical="center"/>
    </xf>
    <xf numFmtId="165" fontId="13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vertical="center"/>
    </xf>
    <xf numFmtId="165" fontId="13" fillId="0" borderId="0" xfId="57" applyFont="1" applyFill="1" applyBorder="1" applyAlignment="1" applyProtection="1">
      <alignment/>
      <protection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165" fontId="13" fillId="0" borderId="0" xfId="0" applyNumberFormat="1" applyFont="1" applyFill="1" applyAlignment="1">
      <alignment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13" fillId="0" borderId="0" xfId="0" applyFont="1" applyAlignment="1">
      <alignment horizontal="left" indent="7"/>
    </xf>
    <xf numFmtId="2" fontId="18" fillId="0" borderId="22" xfId="0" applyNumberFormat="1" applyFont="1" applyFill="1" applyBorder="1" applyAlignment="1">
      <alignment/>
    </xf>
    <xf numFmtId="49" fontId="18" fillId="0" borderId="22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14" fontId="18" fillId="0" borderId="0" xfId="0" applyNumberFormat="1" applyFont="1" applyFill="1" applyAlignment="1">
      <alignment horizontal="left"/>
    </xf>
    <xf numFmtId="165" fontId="18" fillId="0" borderId="0" xfId="0" applyNumberFormat="1" applyFont="1" applyFill="1" applyAlignment="1">
      <alignment/>
    </xf>
    <xf numFmtId="0" fontId="18" fillId="0" borderId="0" xfId="0" applyFont="1" applyAlignment="1">
      <alignment horizontal="right"/>
    </xf>
    <xf numFmtId="49" fontId="20" fillId="0" borderId="13" xfId="0" applyNumberFormat="1" applyFont="1" applyFill="1" applyBorder="1" applyAlignment="1">
      <alignment horizontal="center" vertical="center" wrapText="1"/>
    </xf>
    <xf numFmtId="165" fontId="18" fillId="0" borderId="0" xfId="57" applyFont="1" applyFill="1" applyBorder="1" applyAlignment="1" applyProtection="1">
      <alignment/>
      <protection/>
    </xf>
    <xf numFmtId="168" fontId="13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left" indent="7"/>
    </xf>
    <xf numFmtId="49" fontId="18" fillId="0" borderId="0" xfId="0" applyNumberFormat="1" applyFont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8" fillId="0" borderId="24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 indent="1"/>
    </xf>
    <xf numFmtId="0" fontId="18" fillId="0" borderId="11" xfId="0" applyFont="1" applyBorder="1" applyAlignment="1">
      <alignment horizontal="left" vertical="center" indent="2"/>
    </xf>
    <xf numFmtId="0" fontId="18" fillId="0" borderId="11" xfId="0" applyFont="1" applyBorder="1" applyAlignment="1">
      <alignment horizontal="left" vertical="center" indent="3"/>
    </xf>
    <xf numFmtId="165" fontId="18" fillId="0" borderId="0" xfId="57" applyFont="1" applyFill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vertical="center"/>
    </xf>
    <xf numFmtId="0" fontId="18" fillId="0" borderId="24" xfId="0" applyFont="1" applyBorder="1" applyAlignment="1">
      <alignment horizontal="left" vertical="center" indent="1"/>
    </xf>
    <xf numFmtId="0" fontId="18" fillId="0" borderId="0" xfId="0" applyFont="1" applyFill="1" applyBorder="1" applyAlignment="1">
      <alignment horizontal="right" vertical="center"/>
    </xf>
    <xf numFmtId="49" fontId="18" fillId="0" borderId="11" xfId="0" applyNumberFormat="1" applyFont="1" applyBorder="1" applyAlignment="1">
      <alignment horizontal="left" vertical="center" indent="1"/>
    </xf>
    <xf numFmtId="49" fontId="18" fillId="0" borderId="11" xfId="0" applyNumberFormat="1" applyFont="1" applyBorder="1" applyAlignment="1">
      <alignment vertical="center"/>
    </xf>
    <xf numFmtId="49" fontId="18" fillId="0" borderId="11" xfId="0" applyNumberFormat="1" applyFont="1" applyBorder="1" applyAlignment="1">
      <alignment horizontal="left" vertical="center" indent="2"/>
    </xf>
    <xf numFmtId="49" fontId="18" fillId="0" borderId="11" xfId="0" applyNumberFormat="1" applyFont="1" applyBorder="1" applyAlignment="1">
      <alignment horizontal="left" vertical="center" indent="3"/>
    </xf>
    <xf numFmtId="49" fontId="23" fillId="0" borderId="10" xfId="0" applyNumberFormat="1" applyFont="1" applyBorder="1" applyAlignment="1">
      <alignment vertical="center"/>
    </xf>
    <xf numFmtId="0" fontId="23" fillId="0" borderId="0" xfId="0" applyFont="1" applyAlignment="1">
      <alignment/>
    </xf>
    <xf numFmtId="40" fontId="18" fillId="0" borderId="0" xfId="0" applyNumberFormat="1" applyFont="1" applyBorder="1" applyAlignment="1">
      <alignment/>
    </xf>
    <xf numFmtId="37" fontId="18" fillId="0" borderId="0" xfId="0" applyNumberFormat="1" applyFont="1" applyFill="1" applyBorder="1" applyAlignment="1">
      <alignment vertical="center"/>
    </xf>
    <xf numFmtId="37" fontId="18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center"/>
    </xf>
    <xf numFmtId="40" fontId="18" fillId="0" borderId="0" xfId="0" applyNumberFormat="1" applyFont="1" applyBorder="1" applyAlignment="1">
      <alignment horizontal="left" indent="3"/>
    </xf>
    <xf numFmtId="0" fontId="18" fillId="0" borderId="2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0" xfId="0" applyFont="1" applyBorder="1" applyAlignment="1">
      <alignment horizontal="justify" vertical="top" wrapText="1"/>
    </xf>
    <xf numFmtId="0" fontId="18" fillId="0" borderId="23" xfId="0" applyFont="1" applyBorder="1" applyAlignment="1">
      <alignment horizontal="justify" vertical="top" wrapText="1"/>
    </xf>
    <xf numFmtId="0" fontId="18" fillId="0" borderId="11" xfId="0" applyFont="1" applyBorder="1" applyAlignment="1">
      <alignment horizontal="justify" vertical="top" wrapText="1"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 horizontal="left" vertical="top" indent="1"/>
    </xf>
    <xf numFmtId="165" fontId="18" fillId="0" borderId="0" xfId="57" applyFont="1" applyFill="1" applyBorder="1" applyAlignment="1" applyProtection="1">
      <alignment horizontal="center"/>
      <protection/>
    </xf>
    <xf numFmtId="165" fontId="23" fillId="0" borderId="0" xfId="57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 horizontal="left" indent="1"/>
    </xf>
    <xf numFmtId="168" fontId="13" fillId="0" borderId="0" xfId="0" applyNumberFormat="1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167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49" fontId="12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2" fontId="18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49" fontId="19" fillId="0" borderId="0" xfId="0" applyNumberFormat="1" applyFont="1" applyAlignment="1">
      <alignment horizontal="left" indent="7"/>
    </xf>
    <xf numFmtId="0" fontId="18" fillId="0" borderId="0" xfId="0" applyNumberFormat="1" applyFont="1" applyAlignment="1">
      <alignment horizontal="center"/>
    </xf>
    <xf numFmtId="0" fontId="18" fillId="0" borderId="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3" fontId="23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40" fontId="13" fillId="0" borderId="0" xfId="0" applyNumberFormat="1" applyFont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18" fillId="0" borderId="0" xfId="49" applyFont="1" applyAlignment="1">
      <alignment horizontal="center" vertical="center"/>
      <protection/>
    </xf>
    <xf numFmtId="0" fontId="18" fillId="0" borderId="0" xfId="49" applyFont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left" indent="7"/>
    </xf>
    <xf numFmtId="0" fontId="18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left" indent="7"/>
    </xf>
    <xf numFmtId="0" fontId="26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left" indent="7"/>
    </xf>
    <xf numFmtId="0" fontId="19" fillId="0" borderId="0" xfId="0" applyFont="1" applyAlignment="1">
      <alignment/>
    </xf>
    <xf numFmtId="0" fontId="18" fillId="0" borderId="0" xfId="49" applyFont="1" applyFill="1" applyAlignment="1">
      <alignment horizontal="left"/>
      <protection/>
    </xf>
    <xf numFmtId="49" fontId="18" fillId="0" borderId="0" xfId="49" applyNumberFormat="1" applyFont="1" applyBorder="1">
      <alignment/>
      <protection/>
    </xf>
    <xf numFmtId="0" fontId="19" fillId="0" borderId="0" xfId="49" applyFont="1" applyFill="1" applyAlignment="1">
      <alignment horizontal="left" vertical="center"/>
      <protection/>
    </xf>
    <xf numFmtId="0" fontId="19" fillId="0" borderId="0" xfId="49" applyFont="1" applyFill="1" applyAlignment="1">
      <alignment horizontal="center" vertical="center"/>
      <protection/>
    </xf>
    <xf numFmtId="49" fontId="19" fillId="0" borderId="13" xfId="49" applyNumberFormat="1" applyFont="1" applyFill="1" applyBorder="1" applyAlignment="1">
      <alignment horizontal="center" vertical="center" wrapText="1"/>
      <protection/>
    </xf>
    <xf numFmtId="3" fontId="26" fillId="0" borderId="17" xfId="49" applyNumberFormat="1" applyFont="1" applyFill="1" applyBorder="1" applyAlignment="1">
      <alignment horizontal="left" vertical="center"/>
      <protection/>
    </xf>
    <xf numFmtId="3" fontId="19" fillId="0" borderId="17" xfId="49" applyNumberFormat="1" applyFont="1" applyFill="1" applyBorder="1" applyAlignment="1">
      <alignment horizontal="left" vertical="center" indent="1"/>
      <protection/>
    </xf>
    <xf numFmtId="165" fontId="19" fillId="0" borderId="18" xfId="60" applyFont="1" applyFill="1" applyBorder="1" applyAlignment="1" applyProtection="1">
      <alignment horizontal="right" vertical="center"/>
      <protection/>
    </xf>
    <xf numFmtId="165" fontId="19" fillId="0" borderId="12" xfId="60" applyFont="1" applyFill="1" applyBorder="1" applyAlignment="1" applyProtection="1">
      <alignment horizontal="right" vertical="center"/>
      <protection/>
    </xf>
    <xf numFmtId="3" fontId="19" fillId="0" borderId="17" xfId="49" applyNumberFormat="1" applyFont="1" applyFill="1" applyBorder="1" applyAlignment="1">
      <alignment horizontal="left" vertical="center" indent="2"/>
      <protection/>
    </xf>
    <xf numFmtId="0" fontId="18" fillId="0" borderId="0" xfId="49" applyFont="1" applyFill="1" applyAlignment="1">
      <alignment horizontal="center" vertical="center"/>
      <protection/>
    </xf>
    <xf numFmtId="3" fontId="19" fillId="0" borderId="0" xfId="49" applyNumberFormat="1" applyFont="1" applyFill="1" applyBorder="1" applyAlignment="1">
      <alignment horizontal="left" vertical="center" indent="2"/>
      <protection/>
    </xf>
    <xf numFmtId="3" fontId="26" fillId="0" borderId="0" xfId="49" applyNumberFormat="1" applyFont="1" applyFill="1" applyBorder="1" applyAlignment="1">
      <alignment horizontal="left" vertical="center"/>
      <protection/>
    </xf>
    <xf numFmtId="165" fontId="26" fillId="0" borderId="18" xfId="60" applyFont="1" applyFill="1" applyBorder="1" applyAlignment="1" applyProtection="1">
      <alignment horizontal="right" vertical="center"/>
      <protection/>
    </xf>
    <xf numFmtId="3" fontId="19" fillId="0" borderId="0" xfId="49" applyNumberFormat="1" applyFont="1" applyFill="1" applyBorder="1" applyAlignment="1">
      <alignment horizontal="left" vertical="center" indent="1"/>
      <protection/>
    </xf>
    <xf numFmtId="0" fontId="23" fillId="0" borderId="0" xfId="49" applyFont="1" applyAlignment="1">
      <alignment horizontal="center" vertical="center"/>
      <protection/>
    </xf>
    <xf numFmtId="3" fontId="26" fillId="0" borderId="15" xfId="49" applyNumberFormat="1" applyFont="1" applyFill="1" applyBorder="1" applyAlignment="1">
      <alignment horizontal="left" vertical="center"/>
      <protection/>
    </xf>
    <xf numFmtId="165" fontId="26" fillId="0" borderId="15" xfId="60" applyFont="1" applyFill="1" applyBorder="1" applyAlignment="1" applyProtection="1">
      <alignment horizontal="right" vertical="center"/>
      <protection/>
    </xf>
    <xf numFmtId="165" fontId="26" fillId="0" borderId="16" xfId="60" applyFont="1" applyFill="1" applyBorder="1" applyAlignment="1" applyProtection="1">
      <alignment horizontal="right" vertical="center"/>
      <protection/>
    </xf>
    <xf numFmtId="0" fontId="26" fillId="0" borderId="15" xfId="49" applyFont="1" applyFill="1" applyBorder="1" applyAlignment="1">
      <alignment horizontal="left" vertical="center"/>
      <protection/>
    </xf>
    <xf numFmtId="0" fontId="18" fillId="0" borderId="10" xfId="49" applyFont="1" applyFill="1" applyBorder="1" applyAlignment="1">
      <alignment horizontal="center" vertical="center"/>
      <protection/>
    </xf>
    <xf numFmtId="3" fontId="18" fillId="0" borderId="10" xfId="49" applyNumberFormat="1" applyFont="1" applyFill="1" applyBorder="1" applyAlignment="1">
      <alignment horizontal="center" vertical="center"/>
      <protection/>
    </xf>
    <xf numFmtId="3" fontId="18" fillId="0" borderId="0" xfId="49" applyNumberFormat="1" applyFont="1" applyFill="1" applyBorder="1" applyAlignment="1">
      <alignment horizontal="center" vertical="center"/>
      <protection/>
    </xf>
    <xf numFmtId="4" fontId="26" fillId="0" borderId="0" xfId="49" applyNumberFormat="1" applyFont="1" applyFill="1" applyBorder="1" applyAlignment="1">
      <alignment horizontal="left" vertical="center" wrapText="1"/>
      <protection/>
    </xf>
    <xf numFmtId="165" fontId="26" fillId="0" borderId="18" xfId="60" applyFont="1" applyFill="1" applyBorder="1" applyAlignment="1" applyProtection="1">
      <alignment horizontal="right" vertical="center" wrapText="1"/>
      <protection/>
    </xf>
    <xf numFmtId="165" fontId="26" fillId="0" borderId="12" xfId="60" applyFont="1" applyFill="1" applyBorder="1" applyAlignment="1" applyProtection="1">
      <alignment horizontal="right" vertical="center" wrapText="1"/>
      <protection/>
    </xf>
    <xf numFmtId="165" fontId="19" fillId="0" borderId="18" xfId="60" applyFont="1" applyFill="1" applyBorder="1" applyAlignment="1" applyProtection="1">
      <alignment horizontal="right" vertical="center" wrapText="1"/>
      <protection/>
    </xf>
    <xf numFmtId="3" fontId="26" fillId="0" borderId="15" xfId="49" applyNumberFormat="1" applyFont="1" applyFill="1" applyBorder="1" applyAlignment="1">
      <alignment vertical="center"/>
      <protection/>
    </xf>
    <xf numFmtId="3" fontId="23" fillId="0" borderId="10" xfId="49" applyNumberFormat="1" applyFont="1" applyFill="1" applyBorder="1" applyAlignment="1">
      <alignment vertical="center"/>
      <protection/>
    </xf>
    <xf numFmtId="165" fontId="18" fillId="0" borderId="10" xfId="60" applyFont="1" applyFill="1" applyBorder="1" applyAlignment="1" applyProtection="1">
      <alignment horizontal="right" vertical="center"/>
      <protection/>
    </xf>
    <xf numFmtId="0" fontId="26" fillId="0" borderId="10" xfId="49" applyFont="1" applyFill="1" applyBorder="1" applyAlignment="1">
      <alignment horizontal="left" vertical="center"/>
      <protection/>
    </xf>
    <xf numFmtId="0" fontId="19" fillId="0" borderId="0" xfId="49" applyFont="1" applyAlignment="1">
      <alignment horizontal="center" vertical="center"/>
      <protection/>
    </xf>
    <xf numFmtId="165" fontId="23" fillId="0" borderId="16" xfId="60" applyFont="1" applyFill="1" applyBorder="1" applyAlignment="1" applyProtection="1">
      <alignment horizontal="center" vertical="center"/>
      <protection/>
    </xf>
    <xf numFmtId="3" fontId="23" fillId="0" borderId="0" xfId="49" applyNumberFormat="1" applyFont="1" applyFill="1" applyBorder="1" applyAlignment="1">
      <alignment vertical="center"/>
      <protection/>
    </xf>
    <xf numFmtId="0" fontId="23" fillId="0" borderId="0" xfId="49" applyFont="1" applyFill="1" applyBorder="1" applyAlignment="1">
      <alignment horizontal="center" vertical="center"/>
      <protection/>
    </xf>
    <xf numFmtId="0" fontId="18" fillId="0" borderId="0" xfId="49" applyFont="1" applyFill="1" applyBorder="1" applyAlignment="1">
      <alignment horizontal="center" vertical="center"/>
      <protection/>
    </xf>
    <xf numFmtId="3" fontId="18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left" vertical="center" wrapText="1" indent="2"/>
    </xf>
    <xf numFmtId="0" fontId="13" fillId="0" borderId="0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left" wrapText="1" indent="1"/>
    </xf>
    <xf numFmtId="0" fontId="23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19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/>
    </xf>
    <xf numFmtId="0" fontId="23" fillId="0" borderId="1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165" fontId="23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center" wrapText="1" indent="1"/>
    </xf>
    <xf numFmtId="0" fontId="18" fillId="0" borderId="0" xfId="0" applyFont="1" applyFill="1" applyBorder="1" applyAlignment="1">
      <alignment horizontal="left" vertical="center" inden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 indent="1"/>
    </xf>
    <xf numFmtId="0" fontId="13" fillId="0" borderId="0" xfId="0" applyFont="1" applyFill="1" applyBorder="1" applyAlignment="1">
      <alignment horizontal="left" wrapText="1" indent="2"/>
    </xf>
    <xf numFmtId="0" fontId="12" fillId="0" borderId="0" xfId="0" applyFont="1" applyFill="1" applyBorder="1" applyAlignment="1">
      <alignment horizontal="left" vertical="center" wrapText="1"/>
    </xf>
    <xf numFmtId="37" fontId="13" fillId="0" borderId="0" xfId="0" applyNumberFormat="1" applyFont="1" applyAlignment="1">
      <alignment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7" fillId="0" borderId="0" xfId="0" applyFont="1" applyAlignment="1">
      <alignment/>
    </xf>
    <xf numFmtId="166" fontId="13" fillId="0" borderId="0" xfId="0" applyNumberFormat="1" applyFont="1" applyAlignment="1">
      <alignment horizontal="right"/>
    </xf>
    <xf numFmtId="0" fontId="13" fillId="0" borderId="23" xfId="0" applyFont="1" applyBorder="1" applyAlignment="1">
      <alignment horizontal="left" vertical="center"/>
    </xf>
    <xf numFmtId="37" fontId="13" fillId="0" borderId="0" xfId="0" applyNumberFormat="1" applyFont="1" applyBorder="1" applyAlignment="1">
      <alignment vertical="center"/>
    </xf>
    <xf numFmtId="0" fontId="13" fillId="0" borderId="17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165" fontId="13" fillId="0" borderId="0" xfId="57" applyFont="1" applyFill="1" applyBorder="1" applyAlignment="1" applyProtection="1">
      <alignment vertical="center"/>
      <protection/>
    </xf>
    <xf numFmtId="4" fontId="13" fillId="0" borderId="0" xfId="0" applyNumberFormat="1" applyFont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37" fontId="13" fillId="0" borderId="0" xfId="0" applyNumberFormat="1" applyFont="1" applyAlignment="1">
      <alignment vertical="center"/>
    </xf>
    <xf numFmtId="0" fontId="12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65" fontId="13" fillId="0" borderId="15" xfId="57" applyFont="1" applyFill="1" applyBorder="1" applyAlignment="1" applyProtection="1">
      <alignment horizontal="left" vertical="center"/>
      <protection/>
    </xf>
    <xf numFmtId="165" fontId="13" fillId="0" borderId="11" xfId="57" applyFont="1" applyFill="1" applyBorder="1" applyAlignment="1" applyProtection="1">
      <alignment horizontal="center" vertical="center"/>
      <protection/>
    </xf>
    <xf numFmtId="165" fontId="13" fillId="0" borderId="13" xfId="57" applyFont="1" applyFill="1" applyBorder="1" applyAlignment="1" applyProtection="1">
      <alignment horizontal="left" vertical="center"/>
      <protection/>
    </xf>
    <xf numFmtId="165" fontId="13" fillId="0" borderId="24" xfId="57" applyFont="1" applyFill="1" applyBorder="1" applyAlignment="1" applyProtection="1">
      <alignment horizontal="center" vertical="center"/>
      <protection/>
    </xf>
    <xf numFmtId="165" fontId="13" fillId="0" borderId="17" xfId="57" applyFont="1" applyFill="1" applyBorder="1" applyAlignment="1" applyProtection="1">
      <alignment horizontal="center" vertical="center"/>
      <protection/>
    </xf>
    <xf numFmtId="165" fontId="13" fillId="0" borderId="18" xfId="57" applyFont="1" applyFill="1" applyBorder="1" applyAlignment="1" applyProtection="1">
      <alignment horizontal="center" vertical="center"/>
      <protection/>
    </xf>
    <xf numFmtId="0" fontId="12" fillId="0" borderId="11" xfId="0" applyFont="1" applyBorder="1" applyAlignment="1">
      <alignment vertical="center"/>
    </xf>
    <xf numFmtId="165" fontId="12" fillId="0" borderId="11" xfId="57" applyFont="1" applyFill="1" applyBorder="1" applyAlignment="1" applyProtection="1">
      <alignment horizontal="center" vertical="center"/>
      <protection/>
    </xf>
    <xf numFmtId="165" fontId="12" fillId="0" borderId="15" xfId="57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9" fontId="13" fillId="0" borderId="18" xfId="0" applyNumberFormat="1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37" fontId="13" fillId="0" borderId="0" xfId="0" applyNumberFormat="1" applyFont="1" applyBorder="1" applyAlignment="1">
      <alignment horizontal="right" vertical="center"/>
    </xf>
    <xf numFmtId="0" fontId="19" fillId="0" borderId="19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37" fontId="19" fillId="0" borderId="0" xfId="0" applyNumberFormat="1" applyFont="1" applyFill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9" fillId="0" borderId="21" xfId="0" applyFont="1" applyFill="1" applyBorder="1" applyAlignment="1">
      <alignment vertical="center"/>
    </xf>
    <xf numFmtId="37" fontId="19" fillId="0" borderId="21" xfId="0" applyNumberFormat="1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165" fontId="19" fillId="0" borderId="18" xfId="0" applyNumberFormat="1" applyFont="1" applyFill="1" applyBorder="1" applyAlignment="1">
      <alignment vertical="center"/>
    </xf>
    <xf numFmtId="37" fontId="19" fillId="0" borderId="18" xfId="0" applyNumberFormat="1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165" fontId="19" fillId="0" borderId="18" xfId="57" applyFont="1" applyFill="1" applyBorder="1" applyAlignment="1" applyProtection="1">
      <alignment vertical="center"/>
      <protection/>
    </xf>
    <xf numFmtId="165" fontId="19" fillId="0" borderId="12" xfId="57" applyFont="1" applyFill="1" applyBorder="1" applyAlignment="1" applyProtection="1">
      <alignment vertical="center"/>
      <protection/>
    </xf>
    <xf numFmtId="0" fontId="19" fillId="0" borderId="23" xfId="0" applyFont="1" applyFill="1" applyBorder="1" applyAlignment="1">
      <alignment vertical="center"/>
    </xf>
    <xf numFmtId="37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30" fillId="0" borderId="11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12" fillId="0" borderId="17" xfId="0" applyFont="1" applyFill="1" applyBorder="1" applyAlignment="1">
      <alignment horizontal="left" vertical="center" wrapText="1"/>
    </xf>
    <xf numFmtId="165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 indent="1"/>
    </xf>
    <xf numFmtId="164" fontId="7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31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5" fontId="31" fillId="0" borderId="0" xfId="0" applyNumberFormat="1" applyFont="1" applyFill="1" applyBorder="1" applyAlignment="1">
      <alignment/>
    </xf>
    <xf numFmtId="164" fontId="18" fillId="0" borderId="0" xfId="0" applyNumberFormat="1" applyFont="1" applyFill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40" fontId="13" fillId="0" borderId="0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18" fillId="0" borderId="20" xfId="0" applyFont="1" applyFill="1" applyBorder="1" applyAlignment="1">
      <alignment horizontal="center"/>
    </xf>
    <xf numFmtId="40" fontId="13" fillId="0" borderId="17" xfId="0" applyNumberFormat="1" applyFont="1" applyFill="1" applyBorder="1" applyAlignment="1">
      <alignment horizontal="left" vertical="center"/>
    </xf>
    <xf numFmtId="40" fontId="12" fillId="0" borderId="17" xfId="0" applyNumberFormat="1" applyFont="1" applyFill="1" applyBorder="1" applyAlignment="1">
      <alignment horizontal="left" vertical="center"/>
    </xf>
    <xf numFmtId="0" fontId="18" fillId="33" borderId="0" xfId="49" applyFont="1" applyFill="1" applyAlignment="1">
      <alignment horizontal="center" vertical="center"/>
      <protection/>
    </xf>
    <xf numFmtId="4" fontId="14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 horizontal="right"/>
    </xf>
    <xf numFmtId="4" fontId="12" fillId="0" borderId="13" xfId="0" applyNumberFormat="1" applyFont="1" applyFill="1" applyBorder="1" applyAlignment="1">
      <alignment horizontal="center"/>
    </xf>
    <xf numFmtId="4" fontId="15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/>
    </xf>
    <xf numFmtId="40" fontId="13" fillId="0" borderId="17" xfId="57" applyNumberFormat="1" applyFont="1" applyFill="1" applyBorder="1" applyAlignment="1" applyProtection="1">
      <alignment horizontal="right" vertical="center"/>
      <protection/>
    </xf>
    <xf numFmtId="0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Alignment="1">
      <alignment/>
    </xf>
    <xf numFmtId="0" fontId="13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166" fontId="18" fillId="0" borderId="0" xfId="0" applyNumberFormat="1" applyFont="1" applyFill="1" applyAlignment="1">
      <alignment horizontal="right"/>
    </xf>
    <xf numFmtId="0" fontId="12" fillId="0" borderId="19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17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/>
    </xf>
    <xf numFmtId="40" fontId="12" fillId="0" borderId="0" xfId="0" applyNumberFormat="1" applyFont="1" applyFill="1" applyAlignment="1">
      <alignment/>
    </xf>
    <xf numFmtId="40" fontId="12" fillId="0" borderId="0" xfId="0" applyNumberFormat="1" applyFont="1" applyFill="1" applyBorder="1" applyAlignment="1">
      <alignment horizontal="left" vertical="center"/>
    </xf>
    <xf numFmtId="40" fontId="13" fillId="0" borderId="0" xfId="0" applyNumberFormat="1" applyFont="1" applyFill="1" applyBorder="1" applyAlignment="1">
      <alignment/>
    </xf>
    <xf numFmtId="40" fontId="13" fillId="0" borderId="24" xfId="0" applyNumberFormat="1" applyFont="1" applyFill="1" applyBorder="1" applyAlignment="1">
      <alignment horizontal="left" vertical="center"/>
    </xf>
    <xf numFmtId="40" fontId="14" fillId="0" borderId="0" xfId="0" applyNumberFormat="1" applyFont="1" applyFill="1" applyAlignment="1">
      <alignment/>
    </xf>
    <xf numFmtId="2" fontId="14" fillId="0" borderId="0" xfId="0" applyNumberFormat="1" applyFont="1" applyFill="1" applyAlignment="1">
      <alignment/>
    </xf>
    <xf numFmtId="40" fontId="12" fillId="0" borderId="23" xfId="0" applyNumberFormat="1" applyFont="1" applyFill="1" applyBorder="1" applyAlignment="1">
      <alignment horizontal="left" vertical="center"/>
    </xf>
    <xf numFmtId="165" fontId="0" fillId="0" borderId="0" xfId="57" applyFont="1" applyFill="1" applyAlignment="1">
      <alignment/>
    </xf>
    <xf numFmtId="40" fontId="13" fillId="0" borderId="0" xfId="0" applyNumberFormat="1" applyFont="1" applyFill="1" applyBorder="1" applyAlignment="1">
      <alignment horizontal="left" vertical="center" indent="3"/>
    </xf>
    <xf numFmtId="0" fontId="13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40" fontId="12" fillId="0" borderId="0" xfId="57" applyNumberFormat="1" applyFont="1" applyFill="1" applyBorder="1" applyAlignment="1" applyProtection="1">
      <alignment horizontal="right" vertical="center"/>
      <protection/>
    </xf>
    <xf numFmtId="40" fontId="13" fillId="0" borderId="0" xfId="0" applyNumberFormat="1" applyFont="1" applyFill="1" applyAlignment="1">
      <alignment horizontal="right"/>
    </xf>
    <xf numFmtId="165" fontId="12" fillId="0" borderId="0" xfId="57" applyFont="1" applyFill="1" applyBorder="1" applyAlignment="1" applyProtection="1">
      <alignment/>
      <protection/>
    </xf>
    <xf numFmtId="0" fontId="0" fillId="0" borderId="0" xfId="0" applyFont="1" applyFill="1" applyAlignment="1">
      <alignment horizontal="right" vertical="center"/>
    </xf>
    <xf numFmtId="40" fontId="12" fillId="0" borderId="17" xfId="0" applyNumberFormat="1" applyFont="1" applyFill="1" applyBorder="1" applyAlignment="1">
      <alignment vertical="center"/>
    </xf>
    <xf numFmtId="40" fontId="12" fillId="0" borderId="25" xfId="0" applyNumberFormat="1" applyFont="1" applyFill="1" applyBorder="1" applyAlignment="1">
      <alignment vertical="center"/>
    </xf>
    <xf numFmtId="40" fontId="13" fillId="0" borderId="26" xfId="0" applyNumberFormat="1" applyFont="1" applyFill="1" applyBorder="1" applyAlignment="1">
      <alignment vertical="center"/>
    </xf>
    <xf numFmtId="40" fontId="13" fillId="0" borderId="27" xfId="0" applyNumberFormat="1" applyFont="1" applyFill="1" applyBorder="1" applyAlignment="1">
      <alignment vertical="center"/>
    </xf>
    <xf numFmtId="40" fontId="12" fillId="0" borderId="19" xfId="0" applyNumberFormat="1" applyFont="1" applyFill="1" applyBorder="1" applyAlignment="1">
      <alignment vertical="center"/>
    </xf>
    <xf numFmtId="40" fontId="12" fillId="0" borderId="28" xfId="57" applyNumberFormat="1" applyFont="1" applyFill="1" applyBorder="1" applyAlignment="1" applyProtection="1">
      <alignment horizontal="right" vertical="center"/>
      <protection/>
    </xf>
    <xf numFmtId="40" fontId="13" fillId="0" borderId="29" xfId="57" applyNumberFormat="1" applyFont="1" applyFill="1" applyBorder="1" applyAlignment="1" applyProtection="1">
      <alignment horizontal="right" vertical="center"/>
      <protection/>
    </xf>
    <xf numFmtId="40" fontId="13" fillId="0" borderId="29" xfId="0" applyNumberFormat="1" applyFont="1" applyFill="1" applyBorder="1" applyAlignment="1">
      <alignment vertical="center"/>
    </xf>
    <xf numFmtId="40" fontId="13" fillId="0" borderId="30" xfId="0" applyNumberFormat="1" applyFont="1" applyFill="1" applyBorder="1" applyAlignment="1">
      <alignment vertical="center"/>
    </xf>
    <xf numFmtId="40" fontId="12" fillId="0" borderId="17" xfId="57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>
      <alignment horizontal="left" indent="7"/>
    </xf>
    <xf numFmtId="4" fontId="4" fillId="0" borderId="0" xfId="0" applyNumberFormat="1" applyFont="1" applyFill="1" applyAlignment="1">
      <alignment horizontal="left" indent="7"/>
    </xf>
    <xf numFmtId="4" fontId="3" fillId="0" borderId="0" xfId="0" applyNumberFormat="1" applyFont="1" applyFill="1" applyAlignment="1">
      <alignment horizontal="left" indent="7"/>
    </xf>
    <xf numFmtId="0" fontId="4" fillId="0" borderId="11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horizontal="left" vertical="center" indent="4"/>
    </xf>
    <xf numFmtId="0" fontId="3" fillId="0" borderId="24" xfId="0" applyNumberFormat="1" applyFont="1" applyFill="1" applyBorder="1" applyAlignment="1">
      <alignment horizontal="left" vertical="center" indent="4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 indent="4"/>
    </xf>
    <xf numFmtId="0" fontId="1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4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9"/>
    </xf>
    <xf numFmtId="16" fontId="0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 indent="7"/>
    </xf>
    <xf numFmtId="49" fontId="18" fillId="0" borderId="0" xfId="0" applyNumberFormat="1" applyFont="1" applyFill="1" applyAlignment="1">
      <alignment horizontal="left" indent="7"/>
    </xf>
    <xf numFmtId="0" fontId="18" fillId="0" borderId="0" xfId="0" applyFont="1" applyFill="1" applyAlignment="1">
      <alignment horizontal="right"/>
    </xf>
    <xf numFmtId="168" fontId="13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left" indent="7"/>
    </xf>
    <xf numFmtId="49" fontId="12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left" indent="7"/>
    </xf>
    <xf numFmtId="49" fontId="13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left" indent="7"/>
    </xf>
    <xf numFmtId="0" fontId="18" fillId="0" borderId="23" xfId="0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/>
    </xf>
    <xf numFmtId="40" fontId="13" fillId="0" borderId="0" xfId="0" applyNumberFormat="1" applyFont="1" applyFill="1" applyAlignment="1">
      <alignment vertical="center"/>
    </xf>
    <xf numFmtId="49" fontId="18" fillId="0" borderId="0" xfId="49" applyNumberFormat="1" applyFont="1" applyFill="1" applyBorder="1">
      <alignment/>
      <protection/>
    </xf>
    <xf numFmtId="0" fontId="20" fillId="0" borderId="0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center" wrapText="1" indent="2"/>
    </xf>
    <xf numFmtId="0" fontId="18" fillId="0" borderId="0" xfId="52" applyFont="1" applyFill="1" applyAlignment="1">
      <alignment horizontal="center"/>
      <protection/>
    </xf>
    <xf numFmtId="0" fontId="18" fillId="34" borderId="0" xfId="52" applyFont="1" applyFill="1" applyAlignment="1">
      <alignment horizontal="center"/>
      <protection/>
    </xf>
    <xf numFmtId="0" fontId="18" fillId="0" borderId="0" xfId="0" applyNumberFormat="1" applyFont="1" applyFill="1" applyAlignment="1">
      <alignment/>
    </xf>
    <xf numFmtId="2" fontId="13" fillId="0" borderId="0" xfId="0" applyNumberFormat="1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vertical="center"/>
    </xf>
    <xf numFmtId="165" fontId="19" fillId="0" borderId="0" xfId="57" applyFont="1" applyFill="1" applyBorder="1" applyAlignment="1" applyProtection="1">
      <alignment vertical="center"/>
      <protection/>
    </xf>
    <xf numFmtId="43" fontId="3" fillId="0" borderId="0" xfId="0" applyNumberFormat="1" applyFont="1" applyFill="1" applyAlignment="1">
      <alignment horizontal="left" indent="7"/>
    </xf>
    <xf numFmtId="43" fontId="4" fillId="0" borderId="0" xfId="0" applyNumberFormat="1" applyFont="1" applyFill="1" applyAlignment="1">
      <alignment horizontal="left" indent="7"/>
    </xf>
    <xf numFmtId="165" fontId="2" fillId="0" borderId="0" xfId="57" applyFont="1" applyFill="1" applyAlignment="1">
      <alignment horizontal="left" indent="7"/>
    </xf>
    <xf numFmtId="165" fontId="33" fillId="0" borderId="22" xfId="57" applyFont="1" applyFill="1" applyBorder="1" applyAlignment="1" applyProtection="1">
      <alignment horizontal="center"/>
      <protection/>
    </xf>
    <xf numFmtId="165" fontId="34" fillId="0" borderId="0" xfId="57" applyFont="1" applyFill="1" applyBorder="1" applyAlignment="1" applyProtection="1">
      <alignment horizontal="right"/>
      <protection/>
    </xf>
    <xf numFmtId="40" fontId="35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indent="7"/>
    </xf>
    <xf numFmtId="0" fontId="13" fillId="0" borderId="0" xfId="0" applyFont="1" applyFill="1" applyBorder="1" applyAlignment="1">
      <alignment horizontal="left" indent="7"/>
    </xf>
    <xf numFmtId="0" fontId="18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 indent="2"/>
    </xf>
    <xf numFmtId="0" fontId="13" fillId="0" borderId="1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left" vertical="center" indent="1"/>
    </xf>
    <xf numFmtId="49" fontId="26" fillId="0" borderId="10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18" fillId="0" borderId="24" xfId="0" applyFont="1" applyFill="1" applyBorder="1" applyAlignment="1">
      <alignment/>
    </xf>
    <xf numFmtId="0" fontId="23" fillId="0" borderId="19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top" wrapText="1"/>
    </xf>
    <xf numFmtId="0" fontId="18" fillId="0" borderId="17" xfId="0" applyFont="1" applyFill="1" applyBorder="1" applyAlignment="1">
      <alignment/>
    </xf>
    <xf numFmtId="0" fontId="18" fillId="0" borderId="17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left" vertical="top" wrapText="1"/>
    </xf>
    <xf numFmtId="0" fontId="35" fillId="0" borderId="0" xfId="0" applyFont="1" applyAlignment="1">
      <alignment/>
    </xf>
    <xf numFmtId="40" fontId="13" fillId="35" borderId="31" xfId="0" applyNumberFormat="1" applyFont="1" applyFill="1" applyBorder="1" applyAlignment="1">
      <alignment vertical="center"/>
    </xf>
    <xf numFmtId="40" fontId="13" fillId="35" borderId="0" xfId="0" applyNumberFormat="1" applyFont="1" applyFill="1" applyBorder="1" applyAlignment="1">
      <alignment vertical="center"/>
    </xf>
    <xf numFmtId="40" fontId="13" fillId="35" borderId="18" xfId="0" applyNumberFormat="1" applyFont="1" applyFill="1" applyBorder="1" applyAlignment="1">
      <alignment vertical="center"/>
    </xf>
    <xf numFmtId="40" fontId="13" fillId="35" borderId="13" xfId="0" applyNumberFormat="1" applyFont="1" applyFill="1" applyBorder="1" applyAlignment="1">
      <alignment vertical="center"/>
    </xf>
    <xf numFmtId="40" fontId="12" fillId="35" borderId="32" xfId="0" applyNumberFormat="1" applyFont="1" applyFill="1" applyBorder="1" applyAlignment="1">
      <alignment vertical="center"/>
    </xf>
    <xf numFmtId="40" fontId="12" fillId="35" borderId="33" xfId="0" applyNumberFormat="1" applyFont="1" applyFill="1" applyBorder="1" applyAlignment="1">
      <alignment vertical="center"/>
    </xf>
    <xf numFmtId="40" fontId="12" fillId="35" borderId="12" xfId="0" applyNumberFormat="1" applyFont="1" applyFill="1" applyBorder="1" applyAlignment="1">
      <alignment vertical="center"/>
    </xf>
    <xf numFmtId="40" fontId="13" fillId="35" borderId="12" xfId="0" applyNumberFormat="1" applyFont="1" applyFill="1" applyBorder="1" applyAlignment="1">
      <alignment vertical="center"/>
    </xf>
    <xf numFmtId="40" fontId="12" fillId="35" borderId="20" xfId="0" applyNumberFormat="1" applyFont="1" applyFill="1" applyBorder="1" applyAlignment="1">
      <alignment vertical="center"/>
    </xf>
    <xf numFmtId="40" fontId="12" fillId="35" borderId="32" xfId="57" applyNumberFormat="1" applyFont="1" applyFill="1" applyBorder="1" applyAlignment="1" applyProtection="1">
      <alignment horizontal="right" vertical="center"/>
      <protection/>
    </xf>
    <xf numFmtId="40" fontId="12" fillId="35" borderId="34" xfId="57" applyNumberFormat="1" applyFont="1" applyFill="1" applyBorder="1" applyAlignment="1" applyProtection="1">
      <alignment horizontal="right" vertical="center"/>
      <protection/>
    </xf>
    <xf numFmtId="40" fontId="12" fillId="35" borderId="35" xfId="0" applyNumberFormat="1" applyFont="1" applyFill="1" applyBorder="1" applyAlignment="1">
      <alignment vertical="center"/>
    </xf>
    <xf numFmtId="40" fontId="12" fillId="35" borderId="36" xfId="0" applyNumberFormat="1" applyFont="1" applyFill="1" applyBorder="1" applyAlignment="1">
      <alignment vertical="center"/>
    </xf>
    <xf numFmtId="40" fontId="12" fillId="35" borderId="33" xfId="57" applyNumberFormat="1" applyFont="1" applyFill="1" applyBorder="1" applyAlignment="1" applyProtection="1">
      <alignment horizontal="right" vertical="center"/>
      <protection/>
    </xf>
    <xf numFmtId="40" fontId="13" fillId="35" borderId="12" xfId="57" applyNumberFormat="1" applyFont="1" applyFill="1" applyBorder="1" applyAlignment="1" applyProtection="1">
      <alignment horizontal="right" vertical="center"/>
      <protection/>
    </xf>
    <xf numFmtId="40" fontId="13" fillId="35" borderId="37" xfId="0" applyNumberFormat="1" applyFont="1" applyFill="1" applyBorder="1" applyAlignment="1">
      <alignment vertical="center"/>
    </xf>
    <xf numFmtId="43" fontId="2" fillId="0" borderId="0" xfId="0" applyNumberFormat="1" applyFont="1" applyFill="1" applyAlignment="1">
      <alignment horizontal="center"/>
    </xf>
    <xf numFmtId="164" fontId="3" fillId="35" borderId="12" xfId="57" applyNumberFormat="1" applyFont="1" applyFill="1" applyBorder="1" applyAlignment="1" applyProtection="1">
      <alignment vertical="center"/>
      <protection/>
    </xf>
    <xf numFmtId="165" fontId="4" fillId="35" borderId="18" xfId="57" applyFont="1" applyFill="1" applyBorder="1" applyAlignment="1" applyProtection="1">
      <alignment vertical="center"/>
      <protection/>
    </xf>
    <xf numFmtId="165" fontId="4" fillId="35" borderId="16" xfId="57" applyFont="1" applyFill="1" applyBorder="1" applyAlignment="1" applyProtection="1">
      <alignment/>
      <protection/>
    </xf>
    <xf numFmtId="165" fontId="4" fillId="35" borderId="20" xfId="57" applyFont="1" applyFill="1" applyBorder="1" applyAlignment="1" applyProtection="1">
      <alignment vertical="center"/>
      <protection/>
    </xf>
    <xf numFmtId="165" fontId="4" fillId="35" borderId="12" xfId="57" applyFont="1" applyFill="1" applyBorder="1" applyAlignment="1" applyProtection="1">
      <alignment vertical="center"/>
      <protection/>
    </xf>
    <xf numFmtId="165" fontId="3" fillId="35" borderId="18" xfId="57" applyFont="1" applyFill="1" applyBorder="1" applyAlignment="1" applyProtection="1">
      <alignment vertical="center"/>
      <protection/>
    </xf>
    <xf numFmtId="165" fontId="3" fillId="35" borderId="12" xfId="57" applyFont="1" applyFill="1" applyBorder="1" applyAlignment="1" applyProtection="1">
      <alignment vertical="center"/>
      <protection/>
    </xf>
    <xf numFmtId="165" fontId="85" fillId="0" borderId="0" xfId="57" applyFont="1" applyFill="1" applyBorder="1" applyAlignment="1" applyProtection="1">
      <alignment horizontal="center" vertical="center"/>
      <protection/>
    </xf>
    <xf numFmtId="165" fontId="86" fillId="0" borderId="0" xfId="57" applyFont="1" applyFill="1" applyBorder="1" applyAlignment="1" applyProtection="1">
      <alignment vertical="center"/>
      <protection/>
    </xf>
    <xf numFmtId="0" fontId="18" fillId="35" borderId="0" xfId="0" applyFont="1" applyFill="1" applyAlignment="1">
      <alignment/>
    </xf>
    <xf numFmtId="165" fontId="18" fillId="35" borderId="0" xfId="0" applyNumberFormat="1" applyFont="1" applyFill="1" applyAlignment="1">
      <alignment/>
    </xf>
    <xf numFmtId="3" fontId="26" fillId="0" borderId="17" xfId="49" applyNumberFormat="1" applyFont="1" applyFill="1" applyBorder="1" applyAlignment="1">
      <alignment horizontal="left" vertical="center" indent="1"/>
      <protection/>
    </xf>
    <xf numFmtId="43" fontId="7" fillId="0" borderId="0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 horizontal="left" vertical="center" indent="1"/>
    </xf>
    <xf numFmtId="43" fontId="18" fillId="0" borderId="0" xfId="0" applyNumberFormat="1" applyFont="1" applyFill="1" applyAlignment="1">
      <alignment/>
    </xf>
    <xf numFmtId="165" fontId="18" fillId="0" borderId="0" xfId="0" applyNumberFormat="1" applyFont="1" applyFill="1" applyBorder="1" applyAlignment="1">
      <alignment/>
    </xf>
    <xf numFmtId="43" fontId="18" fillId="0" borderId="0" xfId="49" applyNumberFormat="1" applyFont="1" applyAlignment="1">
      <alignment horizontal="center" vertical="center"/>
      <protection/>
    </xf>
    <xf numFmtId="43" fontId="18" fillId="0" borderId="0" xfId="0" applyNumberFormat="1" applyFont="1" applyAlignment="1">
      <alignment horizontal="center" vertical="center"/>
    </xf>
    <xf numFmtId="165" fontId="0" fillId="0" borderId="0" xfId="57" applyAlignment="1">
      <alignment horizontal="center" vertical="center"/>
    </xf>
    <xf numFmtId="165" fontId="18" fillId="0" borderId="0" xfId="49" applyNumberFormat="1" applyFont="1" applyAlignment="1">
      <alignment horizontal="center" vertical="center"/>
      <protection/>
    </xf>
    <xf numFmtId="43" fontId="13" fillId="0" borderId="0" xfId="0" applyNumberFormat="1" applyFont="1" applyFill="1" applyBorder="1" applyAlignment="1">
      <alignment horizontal="center" vertical="center"/>
    </xf>
    <xf numFmtId="165" fontId="3" fillId="0" borderId="0" xfId="57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horizontal="left" vertical="center"/>
    </xf>
    <xf numFmtId="43" fontId="7" fillId="0" borderId="0" xfId="0" applyNumberFormat="1" applyFont="1" applyBorder="1" applyAlignment="1">
      <alignment/>
    </xf>
    <xf numFmtId="165" fontId="4" fillId="0" borderId="38" xfId="57" applyFont="1" applyFill="1" applyBorder="1" applyAlignment="1" applyProtection="1">
      <alignment vertical="center"/>
      <protection/>
    </xf>
    <xf numFmtId="177" fontId="13" fillId="0" borderId="0" xfId="0" applyNumberFormat="1" applyFont="1" applyFill="1" applyAlignment="1">
      <alignment vertical="center"/>
    </xf>
    <xf numFmtId="40" fontId="13" fillId="0" borderId="39" xfId="0" applyNumberFormat="1" applyFont="1" applyFill="1" applyBorder="1" applyAlignment="1">
      <alignment vertical="center"/>
    </xf>
    <xf numFmtId="165" fontId="18" fillId="0" borderId="12" xfId="0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/>
    </xf>
    <xf numFmtId="43" fontId="2" fillId="0" borderId="0" xfId="0" applyNumberFormat="1" applyFont="1" applyBorder="1" applyAlignment="1">
      <alignment/>
    </xf>
    <xf numFmtId="165" fontId="18" fillId="0" borderId="0" xfId="63" applyNumberFormat="1" applyFont="1" applyFill="1" applyBorder="1" applyAlignment="1" applyProtection="1">
      <alignment/>
      <protection/>
    </xf>
    <xf numFmtId="165" fontId="18" fillId="0" borderId="0" xfId="63" applyNumberFormat="1" applyFont="1" applyFill="1" applyBorder="1" applyAlignment="1" applyProtection="1">
      <alignment horizontal="left" vertical="center"/>
      <protection/>
    </xf>
    <xf numFmtId="165" fontId="23" fillId="0" borderId="0" xfId="63" applyNumberFormat="1" applyFont="1" applyFill="1" applyBorder="1" applyAlignment="1" applyProtection="1">
      <alignment horizontal="center" vertical="center"/>
      <protection/>
    </xf>
    <xf numFmtId="165" fontId="23" fillId="0" borderId="21" xfId="63" applyNumberFormat="1" applyFont="1" applyFill="1" applyBorder="1" applyAlignment="1" applyProtection="1">
      <alignment horizontal="left" vertical="center" wrapText="1"/>
      <protection/>
    </xf>
    <xf numFmtId="165" fontId="18" fillId="0" borderId="12" xfId="63" applyNumberFormat="1" applyFont="1" applyFill="1" applyBorder="1" applyAlignment="1" applyProtection="1">
      <alignment horizontal="right" vertical="center"/>
      <protection/>
    </xf>
    <xf numFmtId="165" fontId="18" fillId="0" borderId="0" xfId="63" applyNumberFormat="1" applyFont="1" applyFill="1" applyBorder="1" applyAlignment="1" applyProtection="1">
      <alignment horizontal="right" vertical="center"/>
      <protection/>
    </xf>
    <xf numFmtId="165" fontId="23" fillId="0" borderId="0" xfId="63" applyNumberFormat="1" applyFont="1" applyFill="1" applyBorder="1" applyAlignment="1" applyProtection="1">
      <alignment horizontal="right" vertical="center"/>
      <protection/>
    </xf>
    <xf numFmtId="165" fontId="23" fillId="0" borderId="15" xfId="63" applyNumberFormat="1" applyFont="1" applyFill="1" applyBorder="1" applyAlignment="1" applyProtection="1">
      <alignment horizontal="right" vertical="center" wrapText="1"/>
      <protection/>
    </xf>
    <xf numFmtId="165" fontId="18" fillId="0" borderId="18" xfId="63" applyNumberFormat="1" applyFont="1" applyFill="1" applyBorder="1" applyAlignment="1" applyProtection="1">
      <alignment horizontal="right" vertical="center" wrapText="1"/>
      <protection/>
    </xf>
    <xf numFmtId="165" fontId="23" fillId="0" borderId="18" xfId="63" applyNumberFormat="1" applyFont="1" applyFill="1" applyBorder="1" applyAlignment="1" applyProtection="1">
      <alignment horizontal="right" vertical="center" wrapText="1"/>
      <protection/>
    </xf>
    <xf numFmtId="165" fontId="23" fillId="0" borderId="17" xfId="63" applyNumberFormat="1" applyFont="1" applyFill="1" applyBorder="1" applyAlignment="1" applyProtection="1">
      <alignment horizontal="right" vertical="center" wrapText="1"/>
      <protection/>
    </xf>
    <xf numFmtId="0" fontId="18" fillId="0" borderId="14" xfId="0" applyFont="1" applyFill="1" applyBorder="1" applyAlignment="1">
      <alignment horizontal="center" vertical="top" wrapText="1"/>
    </xf>
    <xf numFmtId="165" fontId="7" fillId="0" borderId="18" xfId="63" applyNumberFormat="1" applyFont="1" applyFill="1" applyBorder="1" applyAlignment="1" applyProtection="1">
      <alignment horizontal="right" vertical="center" wrapText="1"/>
      <protection/>
    </xf>
    <xf numFmtId="165" fontId="23" fillId="0" borderId="0" xfId="0" applyNumberFormat="1" applyFont="1" applyFill="1" applyBorder="1" applyAlignment="1">
      <alignment horizontal="center" vertical="center"/>
    </xf>
    <xf numFmtId="165" fontId="18" fillId="35" borderId="18" xfId="63" applyNumberFormat="1" applyFont="1" applyFill="1" applyBorder="1" applyAlignment="1" applyProtection="1">
      <alignment horizontal="left" vertical="center" wrapText="1"/>
      <protection/>
    </xf>
    <xf numFmtId="165" fontId="23" fillId="35" borderId="18" xfId="63" applyNumberFormat="1" applyFont="1" applyFill="1" applyBorder="1" applyAlignment="1" applyProtection="1">
      <alignment horizontal="left" vertical="center" wrapText="1"/>
      <protection/>
    </xf>
    <xf numFmtId="165" fontId="18" fillId="35" borderId="12" xfId="63" applyNumberFormat="1" applyFont="1" applyFill="1" applyBorder="1" applyAlignment="1" applyProtection="1">
      <alignment horizontal="left" vertical="center" wrapText="1"/>
      <protection/>
    </xf>
    <xf numFmtId="165" fontId="23" fillId="35" borderId="0" xfId="63" applyNumberFormat="1" applyFont="1" applyFill="1" applyBorder="1" applyAlignment="1" applyProtection="1">
      <alignment horizontal="left" vertical="center" wrapText="1"/>
      <protection/>
    </xf>
    <xf numFmtId="165" fontId="23" fillId="35" borderId="15" xfId="63" applyNumberFormat="1" applyFont="1" applyFill="1" applyBorder="1" applyAlignment="1" applyProtection="1">
      <alignment horizontal="center" vertical="center" wrapText="1"/>
      <protection/>
    </xf>
    <xf numFmtId="0" fontId="18" fillId="35" borderId="13" xfId="0" applyFont="1" applyFill="1" applyBorder="1" applyAlignment="1">
      <alignment horizontal="center" vertical="top" wrapText="1"/>
    </xf>
    <xf numFmtId="165" fontId="18" fillId="35" borderId="18" xfId="63" applyNumberFormat="1" applyFont="1" applyFill="1" applyBorder="1" applyAlignment="1" applyProtection="1">
      <alignment horizontal="center" vertical="center"/>
      <protection/>
    </xf>
    <xf numFmtId="165" fontId="26" fillId="35" borderId="15" xfId="0" applyNumberFormat="1" applyFont="1" applyFill="1" applyBorder="1" applyAlignment="1">
      <alignment horizontal="center" vertical="center"/>
    </xf>
    <xf numFmtId="165" fontId="7" fillId="35" borderId="18" xfId="63" applyNumberFormat="1" applyFont="1" applyFill="1" applyBorder="1" applyAlignment="1" applyProtection="1">
      <alignment horizontal="center" vertical="center"/>
      <protection/>
    </xf>
    <xf numFmtId="165" fontId="23" fillId="35" borderId="40" xfId="63" applyNumberFormat="1" applyFont="1" applyFill="1" applyBorder="1" applyAlignment="1" applyProtection="1">
      <alignment horizontal="center" vertical="center"/>
      <protection/>
    </xf>
    <xf numFmtId="43" fontId="4" fillId="0" borderId="18" xfId="57" applyNumberFormat="1" applyFont="1" applyFill="1" applyBorder="1" applyAlignment="1" applyProtection="1">
      <alignment horizontal="right" vertical="center"/>
      <protection/>
    </xf>
    <xf numFmtId="165" fontId="4" fillId="0" borderId="22" xfId="57" applyFont="1" applyFill="1" applyBorder="1" applyAlignment="1" applyProtection="1">
      <alignment horizontal="left" vertical="center"/>
      <protection/>
    </xf>
    <xf numFmtId="165" fontId="0" fillId="0" borderId="0" xfId="57" applyFont="1" applyFill="1" applyBorder="1" applyAlignment="1">
      <alignment/>
    </xf>
    <xf numFmtId="43" fontId="18" fillId="0" borderId="0" xfId="0" applyNumberFormat="1" applyFont="1" applyFill="1" applyBorder="1" applyAlignment="1">
      <alignment horizontal="left" vertical="center" indent="1"/>
    </xf>
    <xf numFmtId="165" fontId="23" fillId="0" borderId="24" xfId="0" applyNumberFormat="1" applyFont="1" applyFill="1" applyBorder="1" applyAlignment="1">
      <alignment horizontal="left" vertical="center" wrapText="1"/>
    </xf>
    <xf numFmtId="0" fontId="23" fillId="33" borderId="0" xfId="49" applyFont="1" applyFill="1" applyAlignment="1">
      <alignment horizontal="center" vertical="center"/>
      <protection/>
    </xf>
    <xf numFmtId="165" fontId="18" fillId="0" borderId="0" xfId="0" applyNumberFormat="1" applyFont="1" applyAlignment="1">
      <alignment/>
    </xf>
    <xf numFmtId="4" fontId="7" fillId="0" borderId="0" xfId="0" applyNumberFormat="1" applyFont="1" applyFill="1" applyAlignment="1">
      <alignment horizontal="center"/>
    </xf>
    <xf numFmtId="164" fontId="36" fillId="0" borderId="0" xfId="0" applyNumberFormat="1" applyFont="1" applyFill="1" applyBorder="1" applyAlignment="1">
      <alignment/>
    </xf>
    <xf numFmtId="165" fontId="4" fillId="0" borderId="12" xfId="57" applyFont="1" applyFill="1" applyBorder="1" applyAlignment="1" applyProtection="1">
      <alignment horizontal="right" vertical="center" wrapText="1"/>
      <protection/>
    </xf>
    <xf numFmtId="43" fontId="4" fillId="0" borderId="18" xfId="57" applyNumberFormat="1" applyFont="1" applyFill="1" applyBorder="1" applyAlignment="1" applyProtection="1">
      <alignment horizontal="left" vertical="center"/>
      <protection/>
    </xf>
    <xf numFmtId="165" fontId="4" fillId="0" borderId="14" xfId="57" applyFont="1" applyFill="1" applyBorder="1" applyAlignment="1" applyProtection="1">
      <alignment horizontal="right" vertical="center"/>
      <protection/>
    </xf>
    <xf numFmtId="3" fontId="26" fillId="0" borderId="0" xfId="49" applyNumberFormat="1" applyFont="1" applyFill="1" applyBorder="1" applyAlignment="1">
      <alignment horizontal="left" vertical="center" indent="1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 vertical="center" indent="1"/>
    </xf>
    <xf numFmtId="165" fontId="4" fillId="0" borderId="0" xfId="57" applyFont="1" applyFill="1" applyBorder="1" applyAlignment="1" applyProtection="1">
      <alignment horizontal="center" vertical="center" wrapText="1"/>
      <protection/>
    </xf>
    <xf numFmtId="165" fontId="12" fillId="0" borderId="17" xfId="57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>
      <alignment vertical="center"/>
    </xf>
    <xf numFmtId="177" fontId="13" fillId="0" borderId="0" xfId="0" applyNumberFormat="1" applyFont="1" applyFill="1" applyAlignment="1">
      <alignment/>
    </xf>
    <xf numFmtId="165" fontId="7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49" fontId="10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165" fontId="7" fillId="0" borderId="15" xfId="0" applyNumberFormat="1" applyFont="1" applyFill="1" applyBorder="1" applyAlignment="1">
      <alignment vertical="center"/>
    </xf>
    <xf numFmtId="0" fontId="23" fillId="0" borderId="2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165" fontId="18" fillId="0" borderId="41" xfId="0" applyNumberFormat="1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0" fontId="23" fillId="0" borderId="22" xfId="0" applyFont="1" applyFill="1" applyBorder="1" applyAlignment="1">
      <alignment horizontal="left"/>
    </xf>
    <xf numFmtId="0" fontId="87" fillId="0" borderId="0" xfId="0" applyFont="1" applyFill="1" applyAlignment="1">
      <alignment horizontal="left" vertical="center" indent="1"/>
    </xf>
    <xf numFmtId="49" fontId="5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indent="7"/>
    </xf>
    <xf numFmtId="0" fontId="14" fillId="0" borderId="0" xfId="0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0" xfId="0" applyFont="1" applyAlignment="1">
      <alignment horizontal="right" vertical="center"/>
    </xf>
    <xf numFmtId="165" fontId="13" fillId="0" borderId="12" xfId="57" applyFont="1" applyFill="1" applyBorder="1" applyAlignment="1" applyProtection="1">
      <alignment horizontal="center" vertical="center"/>
      <protection/>
    </xf>
    <xf numFmtId="165" fontId="13" fillId="0" borderId="40" xfId="57" applyFont="1" applyFill="1" applyBorder="1" applyAlignment="1" applyProtection="1">
      <alignment horizontal="center" vertical="center"/>
      <protection/>
    </xf>
    <xf numFmtId="0" fontId="26" fillId="0" borderId="17" xfId="0" applyFont="1" applyFill="1" applyBorder="1" applyAlignment="1">
      <alignment vertical="center"/>
    </xf>
    <xf numFmtId="165" fontId="26" fillId="0" borderId="18" xfId="0" applyNumberFormat="1" applyFont="1" applyFill="1" applyBorder="1" applyAlignment="1">
      <alignment vertical="center"/>
    </xf>
    <xf numFmtId="165" fontId="26" fillId="0" borderId="12" xfId="0" applyNumberFormat="1" applyFont="1" applyFill="1" applyBorder="1" applyAlignment="1">
      <alignment vertical="center"/>
    </xf>
    <xf numFmtId="165" fontId="26" fillId="0" borderId="18" xfId="57" applyFont="1" applyFill="1" applyBorder="1" applyAlignment="1" applyProtection="1">
      <alignment vertical="center"/>
      <protection/>
    </xf>
    <xf numFmtId="165" fontId="26" fillId="0" borderId="12" xfId="57" applyFont="1" applyFill="1" applyBorder="1" applyAlignment="1" applyProtection="1">
      <alignment vertical="center"/>
      <protection/>
    </xf>
    <xf numFmtId="165" fontId="18" fillId="0" borderId="17" xfId="63" applyNumberFormat="1" applyFont="1" applyFill="1" applyBorder="1" applyAlignment="1" applyProtection="1">
      <alignment horizontal="right" vertical="center" wrapText="1"/>
      <protection/>
    </xf>
    <xf numFmtId="177" fontId="7" fillId="0" borderId="0" xfId="0" applyNumberFormat="1" applyFont="1" applyBorder="1" applyAlignment="1">
      <alignment/>
    </xf>
    <xf numFmtId="43" fontId="18" fillId="35" borderId="0" xfId="0" applyNumberFormat="1" applyFont="1" applyFill="1" applyAlignment="1">
      <alignment/>
    </xf>
    <xf numFmtId="43" fontId="18" fillId="0" borderId="0" xfId="0" applyNumberFormat="1" applyFont="1" applyAlignment="1">
      <alignment/>
    </xf>
    <xf numFmtId="43" fontId="7" fillId="0" borderId="0" xfId="0" applyNumberFormat="1" applyFont="1" applyFill="1" applyAlignment="1">
      <alignment horizontal="center"/>
    </xf>
    <xf numFmtId="2" fontId="13" fillId="0" borderId="0" xfId="0" applyNumberFormat="1" applyFont="1" applyAlignment="1">
      <alignment horizontal="left" vertical="center" indent="8"/>
    </xf>
    <xf numFmtId="2" fontId="13" fillId="0" borderId="0" xfId="0" applyNumberFormat="1" applyFont="1" applyAlignment="1">
      <alignment vertical="center"/>
    </xf>
    <xf numFmtId="166" fontId="18" fillId="0" borderId="0" xfId="0" applyNumberFormat="1" applyFont="1" applyFill="1" applyBorder="1" applyAlignment="1">
      <alignment/>
    </xf>
    <xf numFmtId="0" fontId="19" fillId="0" borderId="0" xfId="51" applyFont="1" applyFill="1" applyBorder="1" applyAlignment="1">
      <alignment horizontal="left" indent="7"/>
      <protection/>
    </xf>
    <xf numFmtId="0" fontId="19" fillId="0" borderId="0" xfId="51" applyFont="1">
      <alignment/>
      <protection/>
    </xf>
    <xf numFmtId="0" fontId="26" fillId="0" borderId="0" xfId="51" applyFont="1" applyFill="1" applyBorder="1" applyAlignment="1">
      <alignment horizontal="left" indent="7"/>
      <protection/>
    </xf>
    <xf numFmtId="0" fontId="26" fillId="0" borderId="0" xfId="51" applyFont="1" applyFill="1" applyAlignment="1">
      <alignment/>
      <protection/>
    </xf>
    <xf numFmtId="2" fontId="19" fillId="0" borderId="0" xfId="51" applyNumberFormat="1" applyFont="1" applyFill="1" applyBorder="1" applyAlignment="1">
      <alignment/>
      <protection/>
    </xf>
    <xf numFmtId="0" fontId="26" fillId="0" borderId="0" xfId="51" applyFont="1" applyFill="1" applyBorder="1" applyAlignment="1">
      <alignment/>
      <protection/>
    </xf>
    <xf numFmtId="0" fontId="19" fillId="0" borderId="0" xfId="51" applyFont="1" applyFill="1" applyAlignment="1">
      <alignment/>
      <protection/>
    </xf>
    <xf numFmtId="49" fontId="19" fillId="0" borderId="0" xfId="51" applyNumberFormat="1" applyFont="1" applyFill="1" applyAlignment="1">
      <alignment horizontal="left" indent="7"/>
      <protection/>
    </xf>
    <xf numFmtId="0" fontId="19" fillId="0" borderId="0" xfId="51" applyNumberFormat="1" applyFont="1">
      <alignment/>
      <protection/>
    </xf>
    <xf numFmtId="49" fontId="19" fillId="0" borderId="0" xfId="51" applyNumberFormat="1" applyFont="1" applyFill="1" applyBorder="1">
      <alignment/>
      <protection/>
    </xf>
    <xf numFmtId="49" fontId="19" fillId="0" borderId="0" xfId="51" applyNumberFormat="1" applyFont="1" applyFill="1">
      <alignment/>
      <protection/>
    </xf>
    <xf numFmtId="165" fontId="19" fillId="0" borderId="0" xfId="62" applyFont="1" applyFill="1" applyBorder="1" applyAlignment="1" applyProtection="1">
      <alignment/>
      <protection/>
    </xf>
    <xf numFmtId="0" fontId="19" fillId="0" borderId="0" xfId="51" applyFont="1" applyFill="1">
      <alignment/>
      <protection/>
    </xf>
    <xf numFmtId="49" fontId="26" fillId="0" borderId="0" xfId="51" applyNumberFormat="1" applyFont="1" applyFill="1" applyBorder="1">
      <alignment/>
      <protection/>
    </xf>
    <xf numFmtId="4" fontId="19" fillId="0" borderId="0" xfId="51" applyNumberFormat="1" applyFont="1" applyFill="1" applyBorder="1" applyAlignment="1">
      <alignment horizontal="right" vertical="center"/>
      <protection/>
    </xf>
    <xf numFmtId="0" fontId="19" fillId="0" borderId="23" xfId="51" applyFont="1" applyFill="1" applyBorder="1" applyAlignment="1">
      <alignment vertical="top"/>
      <protection/>
    </xf>
    <xf numFmtId="0" fontId="19" fillId="0" borderId="13" xfId="51" applyFont="1" applyFill="1" applyBorder="1" applyAlignment="1">
      <alignment horizontal="center" vertical="center" wrapText="1"/>
      <protection/>
    </xf>
    <xf numFmtId="165" fontId="19" fillId="0" borderId="13" xfId="62" applyFont="1" applyFill="1" applyBorder="1" applyAlignment="1" applyProtection="1">
      <alignment horizontal="center" vertical="center" wrapText="1"/>
      <protection/>
    </xf>
    <xf numFmtId="165" fontId="26" fillId="0" borderId="13" xfId="62" applyFont="1" applyFill="1" applyBorder="1" applyAlignment="1" applyProtection="1">
      <alignment horizontal="center" vertical="center" wrapText="1"/>
      <protection/>
    </xf>
    <xf numFmtId="165" fontId="19" fillId="0" borderId="42" xfId="59" applyFont="1" applyBorder="1" applyAlignment="1">
      <alignment vertical="center"/>
    </xf>
    <xf numFmtId="165" fontId="26" fillId="0" borderId="15" xfId="62" applyFont="1" applyFill="1" applyBorder="1" applyAlignment="1" applyProtection="1">
      <alignment horizontal="right" vertical="center"/>
      <protection/>
    </xf>
    <xf numFmtId="165" fontId="26" fillId="0" borderId="42" xfId="59" applyFont="1" applyBorder="1" applyAlignment="1">
      <alignment vertical="center"/>
    </xf>
    <xf numFmtId="4" fontId="26" fillId="0" borderId="15" xfId="51" applyNumberFormat="1" applyFont="1" applyFill="1" applyBorder="1" applyAlignment="1">
      <alignment horizontal="right" vertical="center"/>
      <protection/>
    </xf>
    <xf numFmtId="165" fontId="19" fillId="0" borderId="15" xfId="62" applyFont="1" applyFill="1" applyBorder="1" applyAlignment="1" applyProtection="1">
      <alignment horizontal="right" vertical="center"/>
      <protection/>
    </xf>
    <xf numFmtId="4" fontId="19" fillId="0" borderId="15" xfId="51" applyNumberFormat="1" applyFont="1" applyFill="1" applyBorder="1" applyAlignment="1">
      <alignment horizontal="right" vertical="center"/>
      <protection/>
    </xf>
    <xf numFmtId="4" fontId="19" fillId="0" borderId="0" xfId="51" applyNumberFormat="1" applyFont="1">
      <alignment/>
      <protection/>
    </xf>
    <xf numFmtId="4" fontId="26" fillId="0" borderId="18" xfId="51" applyNumberFormat="1" applyFont="1" applyFill="1" applyBorder="1" applyAlignment="1">
      <alignment horizontal="right" vertical="center"/>
      <protection/>
    </xf>
    <xf numFmtId="4" fontId="26" fillId="0" borderId="21" xfId="51" applyNumberFormat="1" applyFont="1" applyFill="1" applyBorder="1" applyAlignment="1">
      <alignment horizontal="right" vertical="center"/>
      <protection/>
    </xf>
    <xf numFmtId="165" fontId="19" fillId="0" borderId="11" xfId="62" applyFont="1" applyFill="1" applyBorder="1" applyAlignment="1" applyProtection="1">
      <alignment horizontal="right" vertical="center"/>
      <protection/>
    </xf>
    <xf numFmtId="4" fontId="19" fillId="0" borderId="11" xfId="51" applyNumberFormat="1" applyFont="1" applyFill="1" applyBorder="1" applyAlignment="1">
      <alignment horizontal="right" vertical="center"/>
      <protection/>
    </xf>
    <xf numFmtId="165" fontId="19" fillId="0" borderId="42" xfId="59" applyFont="1" applyFill="1" applyBorder="1" applyAlignment="1">
      <alignment horizontal="right" vertical="center"/>
    </xf>
    <xf numFmtId="4" fontId="26" fillId="0" borderId="43" xfId="51" applyNumberFormat="1" applyFont="1" applyFill="1" applyBorder="1" applyAlignment="1">
      <alignment horizontal="right" vertical="center"/>
      <protection/>
    </xf>
    <xf numFmtId="4" fontId="26" fillId="0" borderId="17" xfId="51" applyNumberFormat="1" applyFont="1" applyFill="1" applyBorder="1" applyAlignment="1">
      <alignment horizontal="right" vertical="center"/>
      <protection/>
    </xf>
    <xf numFmtId="165" fontId="19" fillId="0" borderId="42" xfId="59" applyFont="1" applyFill="1" applyBorder="1" applyAlignment="1">
      <alignment vertical="center"/>
    </xf>
    <xf numFmtId="4" fontId="19" fillId="0" borderId="0" xfId="51" applyNumberFormat="1" applyFont="1" applyFill="1">
      <alignment/>
      <protection/>
    </xf>
    <xf numFmtId="0" fontId="19" fillId="0" borderId="0" xfId="51" applyNumberFormat="1" applyFont="1" applyFill="1" applyBorder="1">
      <alignment/>
      <protection/>
    </xf>
    <xf numFmtId="0" fontId="19" fillId="0" borderId="0" xfId="51" applyNumberFormat="1" applyFont="1" applyFill="1">
      <alignment/>
      <protection/>
    </xf>
    <xf numFmtId="4" fontId="26" fillId="0" borderId="0" xfId="51" applyNumberFormat="1" applyFont="1" applyFill="1" applyBorder="1" applyAlignment="1">
      <alignment horizontal="right" vertical="center"/>
      <protection/>
    </xf>
    <xf numFmtId="2" fontId="19" fillId="0" borderId="0" xfId="51" applyNumberFormat="1" applyFont="1" applyFill="1" applyBorder="1" applyAlignment="1">
      <alignment vertical="top"/>
      <protection/>
    </xf>
    <xf numFmtId="165" fontId="19" fillId="0" borderId="0" xfId="62" applyFont="1" applyFill="1" applyBorder="1" applyAlignment="1" applyProtection="1">
      <alignment vertical="center"/>
      <protection/>
    </xf>
    <xf numFmtId="167" fontId="19" fillId="0" borderId="0" xfId="51" applyNumberFormat="1" applyFont="1" applyFill="1" applyAlignment="1">
      <alignment vertical="center"/>
      <protection/>
    </xf>
    <xf numFmtId="4" fontId="19" fillId="0" borderId="0" xfId="51" applyNumberFormat="1" applyFont="1" applyFill="1" applyAlignment="1">
      <alignment vertical="center"/>
      <protection/>
    </xf>
    <xf numFmtId="165" fontId="26" fillId="0" borderId="0" xfId="51" applyNumberFormat="1" applyFont="1" applyFill="1" applyAlignment="1">
      <alignment horizontal="center" vertical="center"/>
      <protection/>
    </xf>
    <xf numFmtId="0" fontId="26" fillId="0" borderId="0" xfId="51" applyFont="1" applyFill="1" applyBorder="1" applyAlignment="1">
      <alignment horizontal="center" vertical="center"/>
      <protection/>
    </xf>
    <xf numFmtId="165" fontId="2" fillId="0" borderId="0" xfId="59" applyFont="1" applyFill="1" applyAlignment="1">
      <alignment/>
    </xf>
    <xf numFmtId="43" fontId="19" fillId="0" borderId="0" xfId="51" applyNumberFormat="1" applyFont="1" applyFill="1">
      <alignment/>
      <protection/>
    </xf>
    <xf numFmtId="165" fontId="19" fillId="0" borderId="0" xfId="51" applyNumberFormat="1" applyFont="1" applyFill="1">
      <alignment/>
      <protection/>
    </xf>
    <xf numFmtId="165" fontId="0" fillId="0" borderId="0" xfId="57" applyFont="1" applyAlignment="1">
      <alignment/>
    </xf>
    <xf numFmtId="165" fontId="18" fillId="0" borderId="15" xfId="59" applyFont="1" applyFill="1" applyBorder="1" applyAlignment="1" applyProtection="1">
      <alignment horizontal="right" vertical="center" wrapText="1"/>
      <protection/>
    </xf>
    <xf numFmtId="165" fontId="18" fillId="0" borderId="16" xfId="59" applyFont="1" applyFill="1" applyBorder="1" applyAlignment="1" applyProtection="1">
      <alignment horizontal="right" vertical="center" wrapText="1"/>
      <protection/>
    </xf>
    <xf numFmtId="165" fontId="18" fillId="0" borderId="15" xfId="59" applyFont="1" applyFill="1" applyBorder="1" applyAlignment="1" applyProtection="1">
      <alignment horizontal="right" vertical="center"/>
      <protection/>
    </xf>
    <xf numFmtId="165" fontId="18" fillId="0" borderId="15" xfId="59" applyFont="1" applyFill="1" applyBorder="1" applyAlignment="1" applyProtection="1">
      <alignment horizontal="left" vertical="center"/>
      <protection/>
    </xf>
    <xf numFmtId="165" fontId="23" fillId="0" borderId="15" xfId="59" applyFont="1" applyFill="1" applyBorder="1" applyAlignment="1" applyProtection="1">
      <alignment horizontal="right" vertical="center"/>
      <protection/>
    </xf>
    <xf numFmtId="165" fontId="18" fillId="0" borderId="15" xfId="59" applyFont="1" applyFill="1" applyBorder="1" applyAlignment="1" applyProtection="1">
      <alignment vertical="center" wrapText="1"/>
      <protection/>
    </xf>
    <xf numFmtId="165" fontId="18" fillId="0" borderId="0" xfId="59" applyFont="1" applyFill="1" applyBorder="1" applyAlignment="1" applyProtection="1">
      <alignment/>
      <protection/>
    </xf>
    <xf numFmtId="165" fontId="18" fillId="0" borderId="0" xfId="59" applyFont="1" applyFill="1" applyBorder="1" applyAlignment="1" applyProtection="1">
      <alignment horizontal="center" vertical="center" wrapText="1"/>
      <protection/>
    </xf>
    <xf numFmtId="165" fontId="18" fillId="0" borderId="0" xfId="59" applyFont="1" applyFill="1" applyBorder="1" applyAlignment="1" applyProtection="1">
      <alignment horizontal="center"/>
      <protection/>
    </xf>
    <xf numFmtId="165" fontId="18" fillId="0" borderId="10" xfId="59" applyFont="1" applyFill="1" applyBorder="1" applyAlignment="1" applyProtection="1">
      <alignment horizontal="center" vertical="center" wrapText="1"/>
      <protection/>
    </xf>
    <xf numFmtId="165" fontId="23" fillId="0" borderId="0" xfId="59" applyFont="1" applyFill="1" applyBorder="1" applyAlignment="1" applyProtection="1">
      <alignment horizontal="right" vertical="center"/>
      <protection/>
    </xf>
    <xf numFmtId="165" fontId="23" fillId="0" borderId="0" xfId="59" applyFont="1" applyFill="1" applyBorder="1" applyAlignment="1" applyProtection="1">
      <alignment horizontal="center" vertical="center"/>
      <protection/>
    </xf>
    <xf numFmtId="4" fontId="19" fillId="0" borderId="0" xfId="51" applyNumberFormat="1" applyFont="1" applyFill="1" applyAlignment="1">
      <alignment horizontal="center" vertical="center"/>
      <protection/>
    </xf>
    <xf numFmtId="165" fontId="0" fillId="0" borderId="0" xfId="57" applyFont="1" applyFill="1" applyAlignment="1">
      <alignment/>
    </xf>
    <xf numFmtId="0" fontId="88" fillId="0" borderId="0" xfId="0" applyFont="1" applyFill="1" applyAlignment="1">
      <alignment horizontal="left" vertical="center" indent="1"/>
    </xf>
    <xf numFmtId="165" fontId="23" fillId="0" borderId="15" xfId="59" applyFont="1" applyFill="1" applyBorder="1" applyAlignment="1" applyProtection="1">
      <alignment horizontal="center" vertical="center" wrapText="1"/>
      <protection/>
    </xf>
    <xf numFmtId="0" fontId="23" fillId="0" borderId="11" xfId="0" applyFont="1" applyBorder="1" applyAlignment="1">
      <alignment vertical="center"/>
    </xf>
    <xf numFmtId="165" fontId="23" fillId="0" borderId="15" xfId="59" applyFont="1" applyFill="1" applyBorder="1" applyAlignment="1" applyProtection="1">
      <alignment horizontal="right" vertical="center" wrapText="1"/>
      <protection/>
    </xf>
    <xf numFmtId="165" fontId="23" fillId="0" borderId="16" xfId="59" applyFont="1" applyFill="1" applyBorder="1" applyAlignment="1" applyProtection="1">
      <alignment vertical="center" wrapText="1"/>
      <protection/>
    </xf>
    <xf numFmtId="0" fontId="23" fillId="0" borderId="24" xfId="0" applyFont="1" applyBorder="1" applyAlignment="1">
      <alignment horizontal="left" vertical="center"/>
    </xf>
    <xf numFmtId="165" fontId="23" fillId="0" borderId="13" xfId="59" applyFont="1" applyFill="1" applyBorder="1" applyAlignment="1" applyProtection="1">
      <alignment horizontal="center" vertical="center" wrapText="1"/>
      <protection/>
    </xf>
    <xf numFmtId="0" fontId="23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 indent="1"/>
    </xf>
    <xf numFmtId="0" fontId="23" fillId="0" borderId="11" xfId="0" applyFont="1" applyBorder="1" applyAlignment="1">
      <alignment horizontal="left" vertical="center" indent="2"/>
    </xf>
    <xf numFmtId="49" fontId="23" fillId="0" borderId="11" xfId="0" applyNumberFormat="1" applyFont="1" applyBorder="1" applyAlignment="1">
      <alignment horizontal="left" vertical="center" indent="1"/>
    </xf>
    <xf numFmtId="165" fontId="23" fillId="0" borderId="15" xfId="59" applyFont="1" applyFill="1" applyBorder="1" applyAlignment="1" applyProtection="1">
      <alignment vertical="center" wrapText="1"/>
      <protection/>
    </xf>
    <xf numFmtId="49" fontId="23" fillId="0" borderId="11" xfId="0" applyNumberFormat="1" applyFont="1" applyBorder="1" applyAlignment="1">
      <alignment vertical="center"/>
    </xf>
    <xf numFmtId="49" fontId="23" fillId="0" borderId="11" xfId="0" applyNumberFormat="1" applyFont="1" applyBorder="1" applyAlignment="1">
      <alignment horizontal="left" vertical="center" indent="2"/>
    </xf>
    <xf numFmtId="0" fontId="23" fillId="0" borderId="0" xfId="0" applyFont="1" applyBorder="1" applyAlignment="1">
      <alignment horizontal="justify" vertical="top" wrapText="1"/>
    </xf>
    <xf numFmtId="40" fontId="89" fillId="0" borderId="18" xfId="0" applyNumberFormat="1" applyFont="1" applyFill="1" applyBorder="1" applyAlignment="1">
      <alignment vertical="center"/>
    </xf>
    <xf numFmtId="40" fontId="89" fillId="0" borderId="0" xfId="0" applyNumberFormat="1" applyFont="1" applyFill="1" applyBorder="1" applyAlignment="1">
      <alignment vertical="center"/>
    </xf>
    <xf numFmtId="40" fontId="89" fillId="0" borderId="17" xfId="0" applyNumberFormat="1" applyFont="1" applyFill="1" applyBorder="1" applyAlignment="1">
      <alignment vertical="center"/>
    </xf>
    <xf numFmtId="40" fontId="89" fillId="0" borderId="0" xfId="0" applyNumberFormat="1" applyFont="1" applyFill="1" applyAlignment="1">
      <alignment/>
    </xf>
    <xf numFmtId="0" fontId="89" fillId="0" borderId="0" xfId="0" applyFont="1" applyFill="1" applyAlignment="1">
      <alignment/>
    </xf>
    <xf numFmtId="40" fontId="89" fillId="0" borderId="0" xfId="0" applyNumberFormat="1" applyFont="1" applyFill="1" applyBorder="1" applyAlignment="1">
      <alignment horizontal="left" vertical="center"/>
    </xf>
    <xf numFmtId="0" fontId="89" fillId="0" borderId="0" xfId="0" applyFont="1" applyAlignment="1">
      <alignment/>
    </xf>
    <xf numFmtId="177" fontId="0" fillId="0" borderId="0" xfId="0" applyNumberFormat="1" applyFont="1" applyFill="1" applyAlignment="1">
      <alignment/>
    </xf>
    <xf numFmtId="165" fontId="0" fillId="0" borderId="0" xfId="57" applyFont="1" applyFill="1" applyAlignment="1">
      <alignment/>
    </xf>
    <xf numFmtId="165" fontId="19" fillId="0" borderId="0" xfId="51" applyNumberFormat="1" applyFont="1" applyFill="1" applyAlignment="1">
      <alignment horizontal="left" indent="7"/>
      <protection/>
    </xf>
    <xf numFmtId="0" fontId="18" fillId="35" borderId="0" xfId="49" applyFont="1" applyFill="1" applyAlignment="1">
      <alignment horizontal="center" vertical="center"/>
      <protection/>
    </xf>
    <xf numFmtId="43" fontId="18" fillId="35" borderId="0" xfId="49" applyNumberFormat="1" applyFont="1" applyFill="1" applyAlignment="1">
      <alignment horizontal="center" vertical="center"/>
      <protection/>
    </xf>
    <xf numFmtId="165" fontId="0" fillId="35" borderId="0" xfId="57" applyFont="1" applyFill="1" applyAlignment="1">
      <alignment horizontal="center" vertical="center"/>
    </xf>
    <xf numFmtId="165" fontId="18" fillId="35" borderId="0" xfId="49" applyNumberFormat="1" applyFont="1" applyFill="1" applyAlignment="1">
      <alignment horizontal="center" vertical="center"/>
      <protection/>
    </xf>
    <xf numFmtId="4" fontId="18" fillId="35" borderId="0" xfId="49" applyNumberFormat="1" applyFont="1" applyFill="1" applyAlignment="1">
      <alignment horizontal="center" vertical="center"/>
      <protection/>
    </xf>
    <xf numFmtId="0" fontId="23" fillId="35" borderId="0" xfId="49" applyFont="1" applyFill="1" applyAlignment="1">
      <alignment horizontal="center" vertical="center"/>
      <protection/>
    </xf>
    <xf numFmtId="43" fontId="23" fillId="35" borderId="0" xfId="49" applyNumberFormat="1" applyFont="1" applyFill="1" applyAlignment="1">
      <alignment horizontal="center" vertical="center"/>
      <protection/>
    </xf>
    <xf numFmtId="4" fontId="26" fillId="35" borderId="0" xfId="57" applyNumberFormat="1" applyFont="1" applyFill="1" applyBorder="1" applyAlignment="1" applyProtection="1">
      <alignment horizontal="right" vertical="center"/>
      <protection/>
    </xf>
    <xf numFmtId="0" fontId="18" fillId="0" borderId="29" xfId="49" applyFont="1" applyBorder="1" applyAlignment="1">
      <alignment horizontal="center" vertical="center"/>
      <protection/>
    </xf>
    <xf numFmtId="0" fontId="26" fillId="0" borderId="0" xfId="49" applyFont="1" applyFill="1" applyBorder="1" applyAlignment="1">
      <alignment horizontal="left" vertical="center"/>
      <protection/>
    </xf>
    <xf numFmtId="165" fontId="23" fillId="35" borderId="18" xfId="63" applyNumberFormat="1" applyFont="1" applyFill="1" applyBorder="1" applyAlignment="1" applyProtection="1">
      <alignment horizontal="center" vertical="center"/>
      <protection/>
    </xf>
    <xf numFmtId="0" fontId="18" fillId="0" borderId="44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165" fontId="18" fillId="0" borderId="26" xfId="59" applyFont="1" applyFill="1" applyBorder="1" applyAlignment="1" applyProtection="1">
      <alignment horizontal="center" vertical="center"/>
      <protection/>
    </xf>
    <xf numFmtId="49" fontId="22" fillId="0" borderId="46" xfId="0" applyNumberFormat="1" applyFont="1" applyFill="1" applyBorder="1" applyAlignment="1">
      <alignment vertical="center"/>
    </xf>
    <xf numFmtId="49" fontId="22" fillId="0" borderId="46" xfId="0" applyNumberFormat="1" applyFont="1" applyFill="1" applyBorder="1" applyAlignment="1">
      <alignment horizontal="left" vertical="center"/>
    </xf>
    <xf numFmtId="49" fontId="22" fillId="0" borderId="47" xfId="0" applyNumberFormat="1" applyFont="1" applyFill="1" applyBorder="1" applyAlignment="1">
      <alignment vertical="center"/>
    </xf>
    <xf numFmtId="4" fontId="26" fillId="0" borderId="12" xfId="51" applyNumberFormat="1" applyFont="1" applyFill="1" applyBorder="1" applyAlignment="1">
      <alignment horizontal="right" vertical="center"/>
      <protection/>
    </xf>
    <xf numFmtId="0" fontId="17" fillId="0" borderId="0" xfId="0" applyFont="1" applyFill="1" applyBorder="1" applyAlignment="1">
      <alignment/>
    </xf>
    <xf numFmtId="49" fontId="17" fillId="0" borderId="0" xfId="0" applyNumberFormat="1" applyFont="1" applyFill="1" applyBorder="1" applyAlignment="1">
      <alignment/>
    </xf>
    <xf numFmtId="165" fontId="23" fillId="0" borderId="12" xfId="59" applyFont="1" applyFill="1" applyBorder="1" applyAlignment="1" applyProtection="1">
      <alignment horizontal="center" vertical="center"/>
      <protection/>
    </xf>
    <xf numFmtId="165" fontId="23" fillId="0" borderId="26" xfId="59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/>
    </xf>
    <xf numFmtId="165" fontId="11" fillId="0" borderId="0" xfId="59" applyFont="1" applyFill="1" applyBorder="1" applyAlignment="1">
      <alignment/>
    </xf>
    <xf numFmtId="165" fontId="23" fillId="0" borderId="20" xfId="59" applyFont="1" applyFill="1" applyBorder="1" applyAlignment="1" applyProtection="1">
      <alignment horizontal="right" vertical="center"/>
      <protection/>
    </xf>
    <xf numFmtId="165" fontId="23" fillId="35" borderId="20" xfId="59" applyFont="1" applyFill="1" applyBorder="1" applyAlignment="1" applyProtection="1">
      <alignment horizontal="center" vertical="center"/>
      <protection/>
    </xf>
    <xf numFmtId="165" fontId="23" fillId="0" borderId="48" xfId="59" applyFont="1" applyFill="1" applyBorder="1" applyAlignment="1" applyProtection="1">
      <alignment horizontal="center" vertical="center"/>
      <protection/>
    </xf>
    <xf numFmtId="165" fontId="23" fillId="0" borderId="12" xfId="59" applyFont="1" applyFill="1" applyBorder="1" applyAlignment="1" applyProtection="1">
      <alignment horizontal="right" vertical="center"/>
      <protection/>
    </xf>
    <xf numFmtId="165" fontId="23" fillId="35" borderId="12" xfId="59" applyFont="1" applyFill="1" applyBorder="1" applyAlignment="1" applyProtection="1">
      <alignment horizontal="center" vertical="center"/>
      <protection/>
    </xf>
    <xf numFmtId="165" fontId="23" fillId="35" borderId="26" xfId="59" applyFont="1" applyFill="1" applyBorder="1" applyAlignment="1" applyProtection="1">
      <alignment horizontal="center" vertical="center"/>
      <protection/>
    </xf>
    <xf numFmtId="165" fontId="18" fillId="0" borderId="12" xfId="59" applyFont="1" applyFill="1" applyBorder="1" applyAlignment="1" applyProtection="1">
      <alignment horizontal="right" vertical="center"/>
      <protection/>
    </xf>
    <xf numFmtId="165" fontId="18" fillId="0" borderId="12" xfId="59" applyFont="1" applyFill="1" applyBorder="1" applyAlignment="1" applyProtection="1">
      <alignment horizontal="center" vertical="center"/>
      <protection/>
    </xf>
    <xf numFmtId="165" fontId="18" fillId="35" borderId="12" xfId="59" applyFont="1" applyFill="1" applyBorder="1" applyAlignment="1" applyProtection="1">
      <alignment horizontal="center" vertical="center"/>
      <protection/>
    </xf>
    <xf numFmtId="165" fontId="18" fillId="0" borderId="26" xfId="59" applyNumberFormat="1" applyFont="1" applyFill="1" applyBorder="1" applyAlignment="1" applyProtection="1">
      <alignment horizontal="center" vertical="center"/>
      <protection/>
    </xf>
    <xf numFmtId="165" fontId="23" fillId="0" borderId="26" xfId="59" applyNumberFormat="1" applyFont="1" applyFill="1" applyBorder="1" applyAlignment="1" applyProtection="1">
      <alignment horizontal="center" vertical="center"/>
      <protection/>
    </xf>
    <xf numFmtId="165" fontId="18" fillId="0" borderId="0" xfId="59" applyFont="1" applyFill="1" applyBorder="1" applyAlignment="1" applyProtection="1">
      <alignment horizontal="center" vertical="center"/>
      <protection/>
    </xf>
    <xf numFmtId="165" fontId="18" fillId="0" borderId="39" xfId="59" applyFont="1" applyFill="1" applyBorder="1" applyAlignment="1" applyProtection="1">
      <alignment horizontal="center" vertical="center"/>
      <protection/>
    </xf>
    <xf numFmtId="165" fontId="23" fillId="0" borderId="39" xfId="59" applyFont="1" applyFill="1" applyBorder="1" applyAlignment="1" applyProtection="1">
      <alignment horizontal="center" vertical="center"/>
      <protection/>
    </xf>
    <xf numFmtId="165" fontId="23" fillId="0" borderId="18" xfId="59" applyFont="1" applyFill="1" applyBorder="1" applyAlignment="1" applyProtection="1">
      <alignment horizontal="right" vertical="center"/>
      <protection/>
    </xf>
    <xf numFmtId="165" fontId="23" fillId="0" borderId="18" xfId="59" applyFont="1" applyFill="1" applyBorder="1" applyAlignment="1" applyProtection="1">
      <alignment horizontal="center" vertical="center"/>
      <protection/>
    </xf>
    <xf numFmtId="165" fontId="18" fillId="0" borderId="18" xfId="59" applyFont="1" applyFill="1" applyBorder="1" applyAlignment="1" applyProtection="1">
      <alignment horizontal="right" vertical="center"/>
      <protection/>
    </xf>
    <xf numFmtId="165" fontId="18" fillId="0" borderId="49" xfId="59" applyFont="1" applyFill="1" applyBorder="1" applyAlignment="1" applyProtection="1">
      <alignment horizontal="center" vertical="center"/>
      <protection/>
    </xf>
    <xf numFmtId="165" fontId="23" fillId="35" borderId="16" xfId="59" applyFont="1" applyFill="1" applyBorder="1" applyAlignment="1" applyProtection="1">
      <alignment horizontal="right" vertical="center"/>
      <protection/>
    </xf>
    <xf numFmtId="40" fontId="13" fillId="0" borderId="0" xfId="59" applyNumberFormat="1" applyFont="1" applyFill="1" applyBorder="1" applyAlignment="1" applyProtection="1">
      <alignment vertical="center"/>
      <protection/>
    </xf>
    <xf numFmtId="0" fontId="26" fillId="0" borderId="47" xfId="51" applyFont="1" applyFill="1" applyBorder="1" applyAlignment="1">
      <alignment horizontal="center" vertical="center"/>
      <protection/>
    </xf>
    <xf numFmtId="0" fontId="26" fillId="0" borderId="47" xfId="51" applyFont="1" applyFill="1" applyBorder="1" applyAlignment="1">
      <alignment horizontal="left" vertical="center"/>
      <protection/>
    </xf>
    <xf numFmtId="165" fontId="19" fillId="0" borderId="47" xfId="62" applyFont="1" applyFill="1" applyBorder="1" applyAlignment="1" applyProtection="1">
      <alignment horizontal="left" vertical="center"/>
      <protection/>
    </xf>
    <xf numFmtId="165" fontId="26" fillId="0" borderId="46" xfId="62" applyFont="1" applyFill="1" applyBorder="1" applyAlignment="1" applyProtection="1">
      <alignment horizontal="left" vertical="center"/>
      <protection/>
    </xf>
    <xf numFmtId="165" fontId="26" fillId="0" borderId="47" xfId="62" applyFont="1" applyFill="1" applyBorder="1" applyAlignment="1" applyProtection="1">
      <alignment horizontal="left" vertical="center"/>
      <protection/>
    </xf>
    <xf numFmtId="165" fontId="19" fillId="0" borderId="50" xfId="62" applyFont="1" applyFill="1" applyBorder="1" applyAlignment="1" applyProtection="1">
      <alignment horizontal="left" vertical="center"/>
      <protection/>
    </xf>
    <xf numFmtId="165" fontId="26" fillId="0" borderId="51" xfId="62" applyFont="1" applyFill="1" applyBorder="1" applyAlignment="1" applyProtection="1">
      <alignment horizontal="left" vertical="center"/>
      <protection/>
    </xf>
    <xf numFmtId="165" fontId="26" fillId="0" borderId="50" xfId="62" applyFont="1" applyFill="1" applyBorder="1" applyAlignment="1" applyProtection="1">
      <alignment horizontal="left" vertical="center"/>
      <protection/>
    </xf>
    <xf numFmtId="165" fontId="2" fillId="0" borderId="0" xfId="59" applyFont="1" applyFill="1" applyAlignment="1">
      <alignment horizontal="right"/>
    </xf>
    <xf numFmtId="0" fontId="13" fillId="0" borderId="41" xfId="0" applyFont="1" applyBorder="1" applyAlignment="1">
      <alignment horizontal="left" vertical="center"/>
    </xf>
    <xf numFmtId="165" fontId="13" fillId="0" borderId="52" xfId="57" applyFont="1" applyFill="1" applyBorder="1" applyAlignment="1" applyProtection="1">
      <alignment horizontal="center" vertical="center"/>
      <protection/>
    </xf>
    <xf numFmtId="9" fontId="13" fillId="0" borderId="52" xfId="0" applyNumberFormat="1" applyFont="1" applyBorder="1" applyAlignment="1">
      <alignment horizontal="center" vertical="center"/>
    </xf>
    <xf numFmtId="165" fontId="13" fillId="0" borderId="39" xfId="57" applyFont="1" applyFill="1" applyBorder="1" applyAlignment="1" applyProtection="1">
      <alignment horizontal="center" vertical="center"/>
      <protection/>
    </xf>
    <xf numFmtId="9" fontId="13" fillId="0" borderId="39" xfId="0" applyNumberFormat="1" applyFont="1" applyBorder="1" applyAlignment="1">
      <alignment horizontal="center" vertical="center"/>
    </xf>
    <xf numFmtId="0" fontId="19" fillId="0" borderId="0" xfId="52" applyFont="1" applyFill="1" applyAlignment="1">
      <alignment horizontal="left" indent="7"/>
      <protection/>
    </xf>
    <xf numFmtId="0" fontId="18" fillId="0" borderId="0" xfId="52" applyFont="1" applyFill="1">
      <alignment/>
      <protection/>
    </xf>
    <xf numFmtId="0" fontId="19" fillId="0" borderId="0" xfId="52" applyFont="1" applyFill="1" applyAlignment="1">
      <alignment/>
      <protection/>
    </xf>
    <xf numFmtId="49" fontId="19" fillId="0" borderId="0" xfId="52" applyNumberFormat="1" applyFont="1" applyFill="1" applyAlignment="1">
      <alignment horizontal="left" indent="7"/>
      <protection/>
    </xf>
    <xf numFmtId="2" fontId="18" fillId="0" borderId="0" xfId="52" applyNumberFormat="1" applyFont="1" applyFill="1" applyAlignment="1">
      <alignment/>
      <protection/>
    </xf>
    <xf numFmtId="0" fontId="18" fillId="0" borderId="0" xfId="52" applyFont="1" applyFill="1" applyAlignment="1">
      <alignment/>
      <protection/>
    </xf>
    <xf numFmtId="170" fontId="18" fillId="0" borderId="0" xfId="52" applyNumberFormat="1" applyFont="1" applyFill="1" applyAlignment="1">
      <alignment horizontal="right"/>
      <protection/>
    </xf>
    <xf numFmtId="0" fontId="18" fillId="0" borderId="34" xfId="52" applyFont="1" applyFill="1" applyBorder="1" applyAlignment="1">
      <alignment vertical="center"/>
      <protection/>
    </xf>
    <xf numFmtId="0" fontId="18" fillId="0" borderId="0" xfId="52" applyFont="1" applyFill="1" applyAlignment="1">
      <alignment horizontal="center" vertical="center"/>
      <protection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4" fontId="18" fillId="0" borderId="42" xfId="52" applyNumberFormat="1" applyFont="1" applyFill="1" applyBorder="1" applyAlignment="1">
      <alignment vertical="center"/>
      <protection/>
    </xf>
    <xf numFmtId="10" fontId="18" fillId="0" borderId="42" xfId="55" applyNumberFormat="1" applyFont="1" applyFill="1" applyBorder="1" applyAlignment="1">
      <alignment vertical="center"/>
    </xf>
    <xf numFmtId="0" fontId="23" fillId="0" borderId="31" xfId="52" applyFont="1" applyFill="1" applyBorder="1" applyAlignment="1">
      <alignment vertical="center"/>
      <protection/>
    </xf>
    <xf numFmtId="0" fontId="18" fillId="0" borderId="31" xfId="52" applyFont="1" applyFill="1" applyBorder="1" applyAlignment="1">
      <alignment vertical="center"/>
      <protection/>
    </xf>
    <xf numFmtId="164" fontId="23" fillId="0" borderId="42" xfId="64" applyNumberFormat="1" applyFont="1" applyFill="1" applyBorder="1" applyAlignment="1">
      <alignment vertical="center"/>
    </xf>
    <xf numFmtId="164" fontId="23" fillId="0" borderId="42" xfId="64" applyNumberFormat="1" applyFont="1" applyFill="1" applyBorder="1" applyAlignment="1">
      <alignment horizontal="center" vertical="center"/>
    </xf>
    <xf numFmtId="164" fontId="18" fillId="0" borderId="42" xfId="64" applyNumberFormat="1" applyFont="1" applyFill="1" applyBorder="1" applyAlignment="1">
      <alignment vertical="center"/>
    </xf>
    <xf numFmtId="43" fontId="0" fillId="0" borderId="0" xfId="0" applyNumberFormat="1" applyAlignment="1">
      <alignment vertical="center"/>
    </xf>
    <xf numFmtId="0" fontId="23" fillId="0" borderId="53" xfId="52" applyFont="1" applyFill="1" applyBorder="1" applyAlignment="1">
      <alignment vertical="center"/>
      <protection/>
    </xf>
    <xf numFmtId="165" fontId="23" fillId="0" borderId="0" xfId="59" applyFont="1" applyAlignment="1">
      <alignment vertical="center"/>
    </xf>
    <xf numFmtId="164" fontId="18" fillId="0" borderId="53" xfId="52" applyNumberFormat="1" applyFont="1" applyFill="1" applyBorder="1" applyAlignment="1">
      <alignment vertical="center"/>
      <protection/>
    </xf>
    <xf numFmtId="43" fontId="18" fillId="0" borderId="31" xfId="52" applyNumberFormat="1" applyFont="1" applyFill="1" applyBorder="1" applyAlignment="1">
      <alignment vertical="center"/>
      <protection/>
    </xf>
    <xf numFmtId="164" fontId="18" fillId="0" borderId="0" xfId="52" applyNumberFormat="1" applyFont="1" applyFill="1" applyBorder="1" applyAlignment="1">
      <alignment vertical="center"/>
      <protection/>
    </xf>
    <xf numFmtId="39" fontId="18" fillId="0" borderId="0" xfId="52" applyNumberFormat="1" applyFont="1" applyFill="1" applyBorder="1" applyAlignment="1">
      <alignment vertical="center"/>
      <protection/>
    </xf>
    <xf numFmtId="165" fontId="18" fillId="0" borderId="0" xfId="59" applyFont="1" applyAlignment="1">
      <alignment vertical="center"/>
    </xf>
    <xf numFmtId="0" fontId="18" fillId="0" borderId="54" xfId="52" applyFont="1" applyFill="1" applyBorder="1" applyAlignment="1">
      <alignment vertical="center"/>
      <protection/>
    </xf>
    <xf numFmtId="0" fontId="23" fillId="0" borderId="0" xfId="0" applyFont="1" applyAlignment="1">
      <alignment vertical="center"/>
    </xf>
    <xf numFmtId="165" fontId="18" fillId="0" borderId="0" xfId="59" applyFont="1" applyAlignment="1">
      <alignment/>
    </xf>
    <xf numFmtId="0" fontId="19" fillId="0" borderId="0" xfId="52" applyFont="1" applyFill="1" applyAlignment="1">
      <alignment horizontal="center"/>
      <protection/>
    </xf>
    <xf numFmtId="49" fontId="18" fillId="0" borderId="0" xfId="52" applyNumberFormat="1" applyFont="1" applyFill="1" applyBorder="1" applyAlignment="1">
      <alignment horizontal="right" indent="7"/>
      <protection/>
    </xf>
    <xf numFmtId="0" fontId="18" fillId="0" borderId="0" xfId="52" applyFont="1" applyFill="1" applyBorder="1" applyAlignment="1">
      <alignment horizontal="right" indent="7"/>
      <protection/>
    </xf>
    <xf numFmtId="2" fontId="18" fillId="0" borderId="0" xfId="52" applyNumberFormat="1" applyFont="1" applyFill="1" applyBorder="1" applyAlignment="1">
      <alignment horizontal="left"/>
      <protection/>
    </xf>
    <xf numFmtId="2" fontId="18" fillId="0" borderId="41" xfId="52" applyNumberFormat="1" applyFont="1" applyFill="1" applyBorder="1" applyAlignment="1">
      <alignment horizontal="left"/>
      <protection/>
    </xf>
    <xf numFmtId="0" fontId="18" fillId="0" borderId="0" xfId="52" applyFont="1" applyFill="1" applyBorder="1" applyAlignment="1">
      <alignment horizontal="right"/>
      <protection/>
    </xf>
    <xf numFmtId="0" fontId="18" fillId="0" borderId="0" xfId="52" applyFont="1" applyFill="1" applyBorder="1" applyAlignment="1">
      <alignment/>
      <protection/>
    </xf>
    <xf numFmtId="43" fontId="0" fillId="0" borderId="0" xfId="0" applyNumberFormat="1" applyAlignment="1">
      <alignment/>
    </xf>
    <xf numFmtId="165" fontId="11" fillId="0" borderId="0" xfId="59" applyFont="1" applyAlignment="1">
      <alignment/>
    </xf>
    <xf numFmtId="40" fontId="18" fillId="0" borderId="0" xfId="52" applyNumberFormat="1" applyFont="1" applyFill="1" applyAlignment="1">
      <alignment horizontal="center"/>
      <protection/>
    </xf>
    <xf numFmtId="4" fontId="18" fillId="0" borderId="0" xfId="52" applyNumberFormat="1" applyFont="1" applyFill="1" applyAlignment="1">
      <alignment horizontal="right"/>
      <protection/>
    </xf>
    <xf numFmtId="0" fontId="10" fillId="0" borderId="0" xfId="52" applyNumberFormat="1" applyFont="1" applyFill="1" applyBorder="1" applyAlignment="1">
      <alignment vertical="center"/>
      <protection/>
    </xf>
    <xf numFmtId="164" fontId="8" fillId="0" borderId="0" xfId="64" applyNumberFormat="1" applyFont="1" applyFill="1" applyBorder="1" applyAlignment="1">
      <alignment vertical="center"/>
    </xf>
    <xf numFmtId="164" fontId="8" fillId="0" borderId="0" xfId="64" applyNumberFormat="1" applyFont="1" applyBorder="1" applyAlignment="1">
      <alignment vertical="center"/>
    </xf>
    <xf numFmtId="0" fontId="10" fillId="0" borderId="0" xfId="52" applyNumberFormat="1" applyFont="1" applyBorder="1" applyAlignment="1">
      <alignment vertical="center" wrapText="1"/>
      <protection/>
    </xf>
    <xf numFmtId="0" fontId="10" fillId="0" borderId="0" xfId="52" applyNumberFormat="1" applyFont="1" applyBorder="1" applyAlignment="1">
      <alignment horizontal="left" vertical="center" wrapText="1"/>
      <protection/>
    </xf>
    <xf numFmtId="164" fontId="10" fillId="0" borderId="0" xfId="64" applyNumberFormat="1" applyFont="1" applyFill="1" applyBorder="1" applyAlignment="1">
      <alignment vertical="center"/>
    </xf>
    <xf numFmtId="164" fontId="0" fillId="0" borderId="0" xfId="52" applyNumberFormat="1" applyFont="1" applyFill="1" applyAlignment="1">
      <alignment vertical="center"/>
      <protection/>
    </xf>
    <xf numFmtId="40" fontId="0" fillId="0" borderId="0" xfId="52" applyNumberFormat="1" applyFont="1" applyFill="1" applyAlignment="1">
      <alignment vertical="center"/>
      <protection/>
    </xf>
    <xf numFmtId="0" fontId="90" fillId="0" borderId="0" xfId="0" applyFont="1" applyAlignment="1">
      <alignment horizontal="center" readingOrder="1"/>
    </xf>
    <xf numFmtId="0" fontId="91" fillId="0" borderId="0" xfId="0" applyFont="1" applyAlignment="1">
      <alignment horizontal="center" readingOrder="1"/>
    </xf>
    <xf numFmtId="0" fontId="19" fillId="0" borderId="0" xfId="0" applyFont="1" applyBorder="1" applyAlignment="1">
      <alignment/>
    </xf>
    <xf numFmtId="0" fontId="18" fillId="0" borderId="0" xfId="50" applyFont="1" applyFill="1" applyAlignment="1">
      <alignment horizontal="left"/>
      <protection/>
    </xf>
    <xf numFmtId="49" fontId="18" fillId="0" borderId="0" xfId="50" applyNumberFormat="1" applyFont="1" applyBorder="1">
      <alignment/>
      <protection/>
    </xf>
    <xf numFmtId="0" fontId="18" fillId="0" borderId="0" xfId="50" applyFont="1" applyFill="1" applyBorder="1" applyAlignment="1">
      <alignment horizontal="left"/>
      <protection/>
    </xf>
    <xf numFmtId="0" fontId="18" fillId="0" borderId="0" xfId="50" applyFont="1" applyAlignment="1">
      <alignment horizontal="center" vertical="center"/>
      <protection/>
    </xf>
    <xf numFmtId="0" fontId="18" fillId="0" borderId="0" xfId="50" applyFont="1" applyFill="1" applyAlignment="1">
      <alignment horizontal="center" vertical="center"/>
      <protection/>
    </xf>
    <xf numFmtId="0" fontId="19" fillId="0" borderId="41" xfId="50" applyFont="1" applyFill="1" applyBorder="1" applyAlignment="1">
      <alignment horizontal="left" vertical="center"/>
      <protection/>
    </xf>
    <xf numFmtId="0" fontId="19" fillId="0" borderId="41" xfId="50" applyFont="1" applyFill="1" applyBorder="1" applyAlignment="1">
      <alignment horizontal="center" vertical="center"/>
      <protection/>
    </xf>
    <xf numFmtId="49" fontId="18" fillId="0" borderId="41" xfId="50" applyNumberFormat="1" applyFont="1" applyFill="1" applyBorder="1">
      <alignment/>
      <protection/>
    </xf>
    <xf numFmtId="166" fontId="19" fillId="0" borderId="41" xfId="50" applyNumberFormat="1" applyFont="1" applyFill="1" applyBorder="1" applyAlignment="1">
      <alignment horizontal="right" vertical="center"/>
      <protection/>
    </xf>
    <xf numFmtId="0" fontId="18" fillId="0" borderId="41" xfId="50" applyFont="1" applyBorder="1" applyAlignment="1">
      <alignment horizontal="center" vertical="center"/>
      <protection/>
    </xf>
    <xf numFmtId="0" fontId="18" fillId="0" borderId="41" xfId="50" applyFont="1" applyFill="1" applyBorder="1" applyAlignment="1">
      <alignment horizontal="center" vertical="center"/>
      <protection/>
    </xf>
    <xf numFmtId="0" fontId="19" fillId="0" borderId="0" xfId="50" applyFont="1" applyFill="1" applyAlignment="1">
      <alignment horizontal="left" vertical="center"/>
      <protection/>
    </xf>
    <xf numFmtId="0" fontId="18" fillId="0" borderId="0" xfId="50" applyFont="1" applyBorder="1" applyAlignment="1">
      <alignment horizontal="center" vertical="center"/>
      <protection/>
    </xf>
    <xf numFmtId="0" fontId="19" fillId="0" borderId="0" xfId="50" applyFont="1" applyFill="1" applyAlignment="1">
      <alignment horizontal="center" vertical="center"/>
      <protection/>
    </xf>
    <xf numFmtId="0" fontId="19" fillId="0" borderId="31" xfId="50" applyFont="1" applyFill="1" applyBorder="1" applyAlignment="1">
      <alignment horizontal="left" vertical="center"/>
      <protection/>
    </xf>
    <xf numFmtId="0" fontId="19" fillId="0" borderId="31" xfId="50" applyFont="1" applyFill="1" applyBorder="1" applyAlignment="1">
      <alignment horizontal="center" vertical="center"/>
      <protection/>
    </xf>
    <xf numFmtId="0" fontId="18" fillId="0" borderId="53" xfId="50" applyFont="1" applyBorder="1" applyAlignment="1">
      <alignment horizontal="center" vertical="center"/>
      <protection/>
    </xf>
    <xf numFmtId="0" fontId="18" fillId="0" borderId="31" xfId="50" applyFont="1" applyBorder="1" applyAlignment="1">
      <alignment horizontal="center" vertical="center"/>
      <protection/>
    </xf>
    <xf numFmtId="0" fontId="18" fillId="0" borderId="55" xfId="50" applyFont="1" applyBorder="1" applyAlignment="1">
      <alignment horizontal="center" vertical="center"/>
      <protection/>
    </xf>
    <xf numFmtId="0" fontId="19" fillId="0" borderId="0" xfId="50" applyFont="1" applyFill="1" applyBorder="1" applyAlignment="1">
      <alignment horizontal="left" vertical="center"/>
      <protection/>
    </xf>
    <xf numFmtId="0" fontId="19" fillId="0" borderId="0" xfId="50" applyFont="1" applyFill="1" applyBorder="1" applyAlignment="1">
      <alignment horizontal="center" vertical="center"/>
      <protection/>
    </xf>
    <xf numFmtId="3" fontId="18" fillId="0" borderId="0" xfId="50" applyNumberFormat="1" applyFont="1" applyFill="1" applyBorder="1" applyAlignment="1">
      <alignment horizontal="center" vertical="center"/>
      <protection/>
    </xf>
    <xf numFmtId="165" fontId="18" fillId="0" borderId="0" xfId="50" applyNumberFormat="1" applyFont="1" applyFill="1" applyBorder="1" applyAlignment="1">
      <alignment horizontal="center" vertical="center"/>
      <protection/>
    </xf>
    <xf numFmtId="0" fontId="18" fillId="0" borderId="29" xfId="50" applyFont="1" applyBorder="1" applyAlignment="1">
      <alignment horizontal="center" vertical="center"/>
      <protection/>
    </xf>
    <xf numFmtId="0" fontId="23" fillId="0" borderId="29" xfId="50" applyFont="1" applyBorder="1" applyAlignment="1">
      <alignment horizontal="center" vertical="center"/>
      <protection/>
    </xf>
    <xf numFmtId="0" fontId="23" fillId="0" borderId="0" xfId="50" applyFont="1" applyAlignment="1">
      <alignment horizontal="center" vertical="center"/>
      <protection/>
    </xf>
    <xf numFmtId="3" fontId="19" fillId="0" borderId="41" xfId="50" applyNumberFormat="1" applyFont="1" applyFill="1" applyBorder="1" applyAlignment="1">
      <alignment horizontal="left" vertical="center" indent="1"/>
      <protection/>
    </xf>
    <xf numFmtId="165" fontId="19" fillId="0" borderId="40" xfId="61" applyFont="1" applyFill="1" applyBorder="1" applyAlignment="1" applyProtection="1">
      <alignment horizontal="right" vertical="center" wrapText="1"/>
      <protection/>
    </xf>
    <xf numFmtId="165" fontId="19" fillId="0" borderId="27" xfId="61" applyFont="1" applyFill="1" applyBorder="1" applyAlignment="1" applyProtection="1">
      <alignment horizontal="right" vertical="center"/>
      <protection/>
    </xf>
    <xf numFmtId="0" fontId="18" fillId="0" borderId="30" xfId="50" applyFont="1" applyBorder="1" applyAlignment="1">
      <alignment horizontal="center" vertical="center"/>
      <protection/>
    </xf>
    <xf numFmtId="0" fontId="18" fillId="0" borderId="56" xfId="50" applyFont="1" applyBorder="1" applyAlignment="1">
      <alignment horizontal="center" vertical="center"/>
      <protection/>
    </xf>
    <xf numFmtId="0" fontId="18" fillId="0" borderId="57" xfId="50" applyFont="1" applyBorder="1" applyAlignment="1">
      <alignment horizontal="center" vertical="center"/>
      <protection/>
    </xf>
    <xf numFmtId="3" fontId="19" fillId="0" borderId="31" xfId="50" applyNumberFormat="1" applyFont="1" applyFill="1" applyBorder="1" applyAlignment="1">
      <alignment horizontal="left" vertical="center" indent="1"/>
      <protection/>
    </xf>
    <xf numFmtId="165" fontId="19" fillId="0" borderId="38" xfId="61" applyFont="1" applyFill="1" applyBorder="1" applyAlignment="1" applyProtection="1">
      <alignment horizontal="right" vertical="center" wrapText="1"/>
      <protection/>
    </xf>
    <xf numFmtId="165" fontId="19" fillId="0" borderId="58" xfId="61" applyFont="1" applyFill="1" applyBorder="1" applyAlignment="1" applyProtection="1">
      <alignment horizontal="right" vertical="center"/>
      <protection/>
    </xf>
    <xf numFmtId="0" fontId="18" fillId="0" borderId="31" xfId="50" applyFont="1" applyFill="1" applyBorder="1" applyAlignment="1">
      <alignment horizontal="center" vertical="center"/>
      <protection/>
    </xf>
    <xf numFmtId="0" fontId="18" fillId="0" borderId="42" xfId="50" applyFont="1" applyBorder="1" applyAlignment="1">
      <alignment horizontal="center" vertical="center"/>
      <protection/>
    </xf>
    <xf numFmtId="3" fontId="26" fillId="0" borderId="59" xfId="50" applyNumberFormat="1" applyFont="1" applyFill="1" applyBorder="1" applyAlignment="1">
      <alignment horizontal="left" vertical="center"/>
      <protection/>
    </xf>
    <xf numFmtId="43" fontId="18" fillId="0" borderId="31" xfId="50" applyNumberFormat="1" applyFont="1" applyBorder="1" applyAlignment="1">
      <alignment horizontal="center" vertical="center"/>
      <protection/>
    </xf>
    <xf numFmtId="4" fontId="26" fillId="0" borderId="31" xfId="50" applyNumberFormat="1" applyFont="1" applyFill="1" applyBorder="1" applyAlignment="1">
      <alignment horizontal="left" vertical="center" wrapText="1"/>
      <protection/>
    </xf>
    <xf numFmtId="165" fontId="26" fillId="0" borderId="38" xfId="61" applyFont="1" applyFill="1" applyBorder="1" applyAlignment="1" applyProtection="1">
      <alignment horizontal="right" vertical="center" wrapText="1"/>
      <protection/>
    </xf>
    <xf numFmtId="165" fontId="26" fillId="0" borderId="60" xfId="61" applyFont="1" applyFill="1" applyBorder="1" applyAlignment="1" applyProtection="1">
      <alignment horizontal="right" vertical="center" wrapText="1"/>
      <protection/>
    </xf>
    <xf numFmtId="165" fontId="26" fillId="0" borderId="58" xfId="61" applyFont="1" applyFill="1" applyBorder="1" applyAlignment="1" applyProtection="1">
      <alignment horizontal="right" vertical="center" wrapText="1"/>
      <protection/>
    </xf>
    <xf numFmtId="0" fontId="26" fillId="0" borderId="31" xfId="50" applyFont="1" applyFill="1" applyBorder="1" applyAlignment="1">
      <alignment horizontal="left" vertical="center"/>
      <protection/>
    </xf>
    <xf numFmtId="165" fontId="26" fillId="0" borderId="38" xfId="61" applyFont="1" applyFill="1" applyBorder="1" applyAlignment="1" applyProtection="1">
      <alignment horizontal="right" vertical="center"/>
      <protection/>
    </xf>
    <xf numFmtId="165" fontId="26" fillId="0" borderId="60" xfId="61" applyFont="1" applyFill="1" applyBorder="1" applyAlignment="1" applyProtection="1">
      <alignment horizontal="right" vertical="center"/>
      <protection/>
    </xf>
    <xf numFmtId="165" fontId="26" fillId="0" borderId="58" xfId="61" applyFont="1" applyFill="1" applyBorder="1" applyAlignment="1" applyProtection="1">
      <alignment horizontal="right" vertical="center"/>
      <protection/>
    </xf>
    <xf numFmtId="167" fontId="13" fillId="0" borderId="0" xfId="0" applyNumberFormat="1" applyFont="1" applyBorder="1" applyAlignment="1">
      <alignment vertical="center"/>
    </xf>
    <xf numFmtId="4" fontId="12" fillId="0" borderId="18" xfId="0" applyNumberFormat="1" applyFont="1" applyFill="1" applyBorder="1" applyAlignment="1">
      <alignment horizontal="center"/>
    </xf>
    <xf numFmtId="0" fontId="23" fillId="0" borderId="52" xfId="52" applyFont="1" applyFill="1" applyBorder="1" applyAlignment="1">
      <alignment horizontal="center" vertical="center"/>
      <protection/>
    </xf>
    <xf numFmtId="0" fontId="18" fillId="0" borderId="0" xfId="52" applyFont="1" applyFill="1" applyBorder="1" applyAlignment="1">
      <alignment vertical="center"/>
      <protection/>
    </xf>
    <xf numFmtId="0" fontId="23" fillId="0" borderId="34" xfId="52" applyFont="1" applyFill="1" applyBorder="1" applyAlignment="1">
      <alignment horizontal="left" vertical="center"/>
      <protection/>
    </xf>
    <xf numFmtId="0" fontId="18" fillId="0" borderId="0" xfId="52" applyFont="1" applyFill="1" applyBorder="1" applyAlignment="1">
      <alignment horizontal="left" vertical="center"/>
      <protection/>
    </xf>
    <xf numFmtId="0" fontId="23" fillId="0" borderId="0" xfId="52" applyFont="1" applyFill="1" applyBorder="1" applyAlignment="1">
      <alignment vertical="center" wrapText="1"/>
      <protection/>
    </xf>
    <xf numFmtId="4" fontId="23" fillId="0" borderId="0" xfId="52" applyNumberFormat="1" applyFont="1" applyFill="1" applyBorder="1" applyAlignment="1">
      <alignment vertical="center"/>
      <protection/>
    </xf>
    <xf numFmtId="4" fontId="23" fillId="0" borderId="0" xfId="52" applyNumberFormat="1" applyFont="1" applyFill="1" applyBorder="1" applyAlignment="1">
      <alignment horizontal="right" vertical="center"/>
      <protection/>
    </xf>
    <xf numFmtId="10" fontId="23" fillId="0" borderId="0" xfId="55" applyNumberFormat="1" applyFont="1" applyFill="1" applyBorder="1" applyAlignment="1">
      <alignment vertical="center"/>
    </xf>
    <xf numFmtId="4" fontId="18" fillId="0" borderId="0" xfId="52" applyNumberFormat="1" applyFont="1" applyFill="1" applyBorder="1" applyAlignment="1">
      <alignment vertical="center"/>
      <protection/>
    </xf>
    <xf numFmtId="4" fontId="18" fillId="0" borderId="0" xfId="52" applyNumberFormat="1" applyFont="1" applyFill="1" applyBorder="1" applyAlignment="1">
      <alignment horizontal="right" vertical="center"/>
      <protection/>
    </xf>
    <xf numFmtId="10" fontId="18" fillId="0" borderId="0" xfId="55" applyNumberFormat="1" applyFont="1" applyFill="1" applyBorder="1" applyAlignment="1">
      <alignment vertical="center"/>
    </xf>
    <xf numFmtId="0" fontId="23" fillId="0" borderId="0" xfId="52" applyFont="1" applyFill="1" applyBorder="1" applyAlignment="1">
      <alignment horizontal="center" vertical="center"/>
      <protection/>
    </xf>
    <xf numFmtId="0" fontId="23" fillId="0" borderId="0" xfId="52" applyFont="1" applyFill="1" applyBorder="1" applyAlignment="1">
      <alignment horizontal="left" vertical="center" wrapText="1"/>
      <protection/>
    </xf>
    <xf numFmtId="0" fontId="23" fillId="0" borderId="51" xfId="52" applyFont="1" applyFill="1" applyBorder="1" applyAlignment="1">
      <alignment horizontal="left" vertical="center" wrapText="1"/>
      <protection/>
    </xf>
    <xf numFmtId="164" fontId="18" fillId="0" borderId="0" xfId="64" applyNumberFormat="1" applyFont="1" applyFill="1" applyBorder="1" applyAlignment="1">
      <alignment vertical="center"/>
    </xf>
    <xf numFmtId="0" fontId="23" fillId="0" borderId="0" xfId="55" applyNumberFormat="1" applyFont="1" applyFill="1" applyBorder="1" applyAlignment="1">
      <alignment vertical="center"/>
    </xf>
    <xf numFmtId="49" fontId="18" fillId="0" borderId="0" xfId="52" applyNumberFormat="1" applyFont="1" applyFill="1" applyBorder="1" applyAlignment="1">
      <alignment/>
      <protection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3" fillId="0" borderId="28" xfId="0" applyFont="1" applyBorder="1" applyAlignment="1">
      <alignment horizontal="center" vertical="center"/>
    </xf>
    <xf numFmtId="0" fontId="19" fillId="0" borderId="61" xfId="0" applyFont="1" applyFill="1" applyBorder="1" applyAlignment="1">
      <alignment vertical="center"/>
    </xf>
    <xf numFmtId="9" fontId="19" fillId="0" borderId="23" xfId="0" applyNumberFormat="1" applyFont="1" applyFill="1" applyBorder="1" applyAlignment="1">
      <alignment vertical="center"/>
    </xf>
    <xf numFmtId="0" fontId="19" fillId="0" borderId="42" xfId="0" applyFont="1" applyFill="1" applyBorder="1" applyAlignment="1">
      <alignment vertical="center"/>
    </xf>
    <xf numFmtId="0" fontId="13" fillId="0" borderId="62" xfId="0" applyFont="1" applyFill="1" applyBorder="1" applyAlignment="1">
      <alignment horizontal="left" vertical="center"/>
    </xf>
    <xf numFmtId="164" fontId="18" fillId="0" borderId="42" xfId="52" applyNumberFormat="1" applyFont="1" applyFill="1" applyBorder="1" applyAlignment="1">
      <alignment vertical="center"/>
      <protection/>
    </xf>
    <xf numFmtId="40" fontId="13" fillId="0" borderId="40" xfId="0" applyNumberFormat="1" applyFont="1" applyFill="1" applyBorder="1" applyAlignment="1">
      <alignment vertical="center"/>
    </xf>
    <xf numFmtId="40" fontId="12" fillId="35" borderId="63" xfId="0" applyNumberFormat="1" applyFont="1" applyFill="1" applyBorder="1" applyAlignment="1">
      <alignment vertical="center"/>
    </xf>
    <xf numFmtId="40" fontId="12" fillId="0" borderId="33" xfId="57" applyNumberFormat="1" applyFont="1" applyFill="1" applyBorder="1" applyAlignment="1" applyProtection="1">
      <alignment vertical="center"/>
      <protection/>
    </xf>
    <xf numFmtId="40" fontId="13" fillId="0" borderId="34" xfId="0" applyNumberFormat="1" applyFont="1" applyFill="1" applyBorder="1" applyAlignment="1">
      <alignment vertical="center"/>
    </xf>
    <xf numFmtId="0" fontId="18" fillId="0" borderId="52" xfId="52" applyFont="1" applyFill="1" applyBorder="1" applyAlignment="1">
      <alignment horizontal="center" vertical="center"/>
      <protection/>
    </xf>
    <xf numFmtId="0" fontId="19" fillId="0" borderId="0" xfId="52" applyFont="1" applyFill="1" applyAlignment="1">
      <alignment vertical="center"/>
      <protection/>
    </xf>
    <xf numFmtId="165" fontId="23" fillId="0" borderId="64" xfId="59" applyFont="1" applyFill="1" applyBorder="1" applyAlignment="1" applyProtection="1">
      <alignment horizontal="right" vertical="center"/>
      <protection/>
    </xf>
    <xf numFmtId="165" fontId="23" fillId="0" borderId="0" xfId="0" applyNumberFormat="1" applyFont="1" applyFill="1" applyBorder="1" applyAlignment="1">
      <alignment vertical="center"/>
    </xf>
    <xf numFmtId="43" fontId="23" fillId="0" borderId="0" xfId="0" applyNumberFormat="1" applyFont="1" applyFill="1" applyAlignment="1">
      <alignment vertical="center"/>
    </xf>
    <xf numFmtId="165" fontId="18" fillId="0" borderId="0" xfId="0" applyNumberFormat="1" applyFont="1" applyFill="1" applyBorder="1" applyAlignment="1">
      <alignment vertical="center"/>
    </xf>
    <xf numFmtId="165" fontId="23" fillId="35" borderId="0" xfId="59" applyFont="1" applyFill="1" applyBorder="1" applyAlignment="1" applyProtection="1">
      <alignment horizontal="right" vertical="center"/>
      <protection/>
    </xf>
    <xf numFmtId="0" fontId="23" fillId="0" borderId="47" xfId="0" applyFont="1" applyFill="1" applyBorder="1" applyAlignment="1">
      <alignment horizontal="left" vertical="center"/>
    </xf>
    <xf numFmtId="0" fontId="18" fillId="0" borderId="65" xfId="0" applyFont="1" applyFill="1" applyBorder="1" applyAlignment="1">
      <alignment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vertical="center"/>
    </xf>
    <xf numFmtId="0" fontId="18" fillId="0" borderId="46" xfId="0" applyFont="1" applyFill="1" applyBorder="1" applyAlignment="1">
      <alignment vertical="center"/>
    </xf>
    <xf numFmtId="0" fontId="18" fillId="0" borderId="29" xfId="0" applyFont="1" applyBorder="1" applyAlignment="1">
      <alignment/>
    </xf>
    <xf numFmtId="0" fontId="23" fillId="0" borderId="29" xfId="0" applyFont="1" applyBorder="1" applyAlignment="1">
      <alignment/>
    </xf>
    <xf numFmtId="0" fontId="23" fillId="0" borderId="67" xfId="0" applyFont="1" applyBorder="1" applyAlignment="1">
      <alignment vertical="center"/>
    </xf>
    <xf numFmtId="165" fontId="12" fillId="0" borderId="26" xfId="57" applyFont="1" applyFill="1" applyBorder="1" applyAlignment="1" applyProtection="1">
      <alignment horizontal="center" vertical="center"/>
      <protection/>
    </xf>
    <xf numFmtId="165" fontId="13" fillId="0" borderId="26" xfId="57" applyFont="1" applyFill="1" applyBorder="1" applyAlignment="1" applyProtection="1">
      <alignment horizontal="center" vertical="center"/>
      <protection/>
    </xf>
    <xf numFmtId="165" fontId="12" fillId="0" borderId="64" xfId="57" applyFont="1" applyFill="1" applyBorder="1" applyAlignment="1" applyProtection="1">
      <alignment horizontal="center" vertical="center"/>
      <protection/>
    </xf>
    <xf numFmtId="0" fontId="19" fillId="0" borderId="26" xfId="0" applyFont="1" applyFill="1" applyBorder="1" applyAlignment="1">
      <alignment vertical="center"/>
    </xf>
    <xf numFmtId="165" fontId="26" fillId="0" borderId="26" xfId="0" applyNumberFormat="1" applyFont="1" applyFill="1" applyBorder="1" applyAlignment="1">
      <alignment vertical="center"/>
    </xf>
    <xf numFmtId="165" fontId="19" fillId="0" borderId="26" xfId="57" applyFont="1" applyFill="1" applyBorder="1" applyAlignment="1" applyProtection="1">
      <alignment vertical="center"/>
      <protection/>
    </xf>
    <xf numFmtId="165" fontId="26" fillId="0" borderId="26" xfId="57" applyFont="1" applyFill="1" applyBorder="1" applyAlignment="1" applyProtection="1">
      <alignment vertical="center"/>
      <protection/>
    </xf>
    <xf numFmtId="0" fontId="19" fillId="0" borderId="29" xfId="0" applyFont="1" applyFill="1" applyBorder="1" applyAlignment="1">
      <alignment vertical="center"/>
    </xf>
    <xf numFmtId="43" fontId="19" fillId="0" borderId="42" xfId="0" applyNumberFormat="1" applyFont="1" applyFill="1" applyBorder="1" applyAlignment="1">
      <alignment vertical="center"/>
    </xf>
    <xf numFmtId="165" fontId="3" fillId="0" borderId="0" xfId="57" applyFont="1" applyFill="1" applyBorder="1" applyAlignment="1" applyProtection="1">
      <alignment horizontal="right" vertical="center"/>
      <protection/>
    </xf>
    <xf numFmtId="164" fontId="23" fillId="0" borderId="42" xfId="52" applyNumberFormat="1" applyFont="1" applyFill="1" applyBorder="1" applyAlignment="1">
      <alignment vertical="center"/>
      <protection/>
    </xf>
    <xf numFmtId="40" fontId="12" fillId="0" borderId="26" xfId="0" applyNumberFormat="1" applyFont="1" applyFill="1" applyBorder="1" applyAlignment="1">
      <alignment vertical="center"/>
    </xf>
    <xf numFmtId="40" fontId="13" fillId="0" borderId="49" xfId="0" applyNumberFormat="1" applyFont="1" applyFill="1" applyBorder="1" applyAlignment="1">
      <alignment vertical="center"/>
    </xf>
    <xf numFmtId="40" fontId="89" fillId="0" borderId="26" xfId="0" applyNumberFormat="1" applyFont="1" applyFill="1" applyBorder="1" applyAlignment="1">
      <alignment vertical="center"/>
    </xf>
    <xf numFmtId="40" fontId="12" fillId="0" borderId="48" xfId="0" applyNumberFormat="1" applyFont="1" applyFill="1" applyBorder="1" applyAlignment="1">
      <alignment vertical="center"/>
    </xf>
    <xf numFmtId="40" fontId="12" fillId="0" borderId="48" xfId="57" applyNumberFormat="1" applyFont="1" applyFill="1" applyBorder="1" applyAlignment="1" applyProtection="1">
      <alignment horizontal="right" vertical="center"/>
      <protection/>
    </xf>
    <xf numFmtId="40" fontId="13" fillId="0" borderId="45" xfId="0" applyNumberFormat="1" applyFont="1" applyFill="1" applyBorder="1" applyAlignment="1">
      <alignment vertical="center"/>
    </xf>
    <xf numFmtId="40" fontId="12" fillId="0" borderId="26" xfId="57" applyNumberFormat="1" applyFont="1" applyFill="1" applyBorder="1" applyAlignment="1" applyProtection="1">
      <alignment horizontal="right" vertical="center"/>
      <protection/>
    </xf>
    <xf numFmtId="40" fontId="12" fillId="0" borderId="44" xfId="57" applyNumberFormat="1" applyFont="1" applyFill="1" applyBorder="1" applyAlignment="1" applyProtection="1">
      <alignment horizontal="right" vertical="center"/>
      <protection/>
    </xf>
    <xf numFmtId="40" fontId="12" fillId="0" borderId="26" xfId="57" applyNumberFormat="1" applyFont="1" applyFill="1" applyBorder="1" applyAlignment="1" applyProtection="1">
      <alignment vertical="center"/>
      <protection/>
    </xf>
    <xf numFmtId="40" fontId="13" fillId="0" borderId="44" xfId="0" applyNumberFormat="1" applyFont="1" applyFill="1" applyBorder="1" applyAlignment="1">
      <alignment vertical="center"/>
    </xf>
    <xf numFmtId="40" fontId="12" fillId="0" borderId="64" xfId="0" applyNumberFormat="1" applyFont="1" applyFill="1" applyBorder="1" applyAlignment="1">
      <alignment vertical="center"/>
    </xf>
    <xf numFmtId="2" fontId="13" fillId="0" borderId="0" xfId="51" applyNumberFormat="1" applyFont="1" applyFill="1" applyBorder="1" applyAlignment="1">
      <alignment/>
      <protection/>
    </xf>
    <xf numFmtId="165" fontId="0" fillId="0" borderId="15" xfId="59" applyFont="1" applyFill="1" applyBorder="1" applyAlignment="1">
      <alignment horizontal="right" vertical="center"/>
    </xf>
    <xf numFmtId="4" fontId="26" fillId="0" borderId="42" xfId="51" applyNumberFormat="1" applyFont="1" applyFill="1" applyBorder="1" applyAlignment="1">
      <alignment horizontal="right" vertical="center"/>
      <protection/>
    </xf>
    <xf numFmtId="4" fontId="19" fillId="0" borderId="0" xfId="51" applyNumberFormat="1" applyFont="1" applyFill="1" applyAlignment="1">
      <alignment horizontal="right" vertical="center"/>
      <protection/>
    </xf>
    <xf numFmtId="4" fontId="26" fillId="0" borderId="0" xfId="51" applyNumberFormat="1" applyFont="1">
      <alignment/>
      <protection/>
    </xf>
    <xf numFmtId="2" fontId="13" fillId="0" borderId="0" xfId="51" applyNumberFormat="1" applyFont="1" applyFill="1" applyBorder="1" applyAlignment="1">
      <alignment vertical="top"/>
      <protection/>
    </xf>
    <xf numFmtId="43" fontId="26" fillId="0" borderId="0" xfId="51" applyNumberFormat="1" applyFont="1" applyAlignment="1">
      <alignment horizontal="right"/>
      <protection/>
    </xf>
    <xf numFmtId="0" fontId="19" fillId="0" borderId="0" xfId="51" applyFont="1" applyFill="1" applyAlignment="1">
      <alignment horizontal="right"/>
      <protection/>
    </xf>
    <xf numFmtId="43" fontId="92" fillId="0" borderId="0" xfId="51" applyNumberFormat="1" applyFont="1" applyFill="1">
      <alignment/>
      <protection/>
    </xf>
    <xf numFmtId="165" fontId="10" fillId="0" borderId="0" xfId="59" applyFont="1" applyFill="1" applyAlignment="1">
      <alignment/>
    </xf>
    <xf numFmtId="165" fontId="18" fillId="0" borderId="39" xfId="48" applyNumberFormat="1" applyFont="1" applyFill="1" applyBorder="1" applyAlignment="1">
      <alignment horizontal="center" vertical="center"/>
      <protection/>
    </xf>
    <xf numFmtId="165" fontId="18" fillId="0" borderId="51" xfId="59" applyFont="1" applyFill="1" applyBorder="1" applyAlignment="1" applyProtection="1">
      <alignment horizontal="center" vertical="center"/>
      <protection/>
    </xf>
    <xf numFmtId="165" fontId="18" fillId="0" borderId="46" xfId="59" applyFont="1" applyFill="1" applyBorder="1" applyAlignment="1" applyProtection="1">
      <alignment horizontal="center" vertical="center"/>
      <protection/>
    </xf>
    <xf numFmtId="165" fontId="23" fillId="0" borderId="51" xfId="59" applyFont="1" applyFill="1" applyBorder="1" applyAlignment="1" applyProtection="1">
      <alignment horizontal="center" vertical="center"/>
      <protection/>
    </xf>
    <xf numFmtId="165" fontId="23" fillId="0" borderId="46" xfId="59" applyFont="1" applyFill="1" applyBorder="1" applyAlignment="1" applyProtection="1">
      <alignment horizontal="center" vertical="center"/>
      <protection/>
    </xf>
    <xf numFmtId="165" fontId="18" fillId="35" borderId="39" xfId="59" applyFont="1" applyFill="1" applyBorder="1" applyAlignment="1" applyProtection="1">
      <alignment horizontal="center" vertical="center"/>
      <protection/>
    </xf>
    <xf numFmtId="165" fontId="18" fillId="35" borderId="52" xfId="59" applyFont="1" applyFill="1" applyBorder="1" applyAlignment="1" applyProtection="1">
      <alignment horizontal="center" vertical="center"/>
      <protection/>
    </xf>
    <xf numFmtId="49" fontId="13" fillId="0" borderId="0" xfId="51" applyNumberFormat="1" applyFont="1" applyAlignment="1">
      <alignment/>
      <protection/>
    </xf>
    <xf numFmtId="165" fontId="3" fillId="0" borderId="12" xfId="57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0" fontId="12" fillId="35" borderId="51" xfId="0" applyNumberFormat="1" applyFont="1" applyFill="1" applyBorder="1" applyAlignment="1">
      <alignment vertical="center"/>
    </xf>
    <xf numFmtId="40" fontId="13" fillId="0" borderId="41" xfId="0" applyNumberFormat="1" applyFont="1" applyFill="1" applyBorder="1" applyAlignment="1">
      <alignment horizontal="left" vertical="center"/>
    </xf>
    <xf numFmtId="40" fontId="13" fillId="0" borderId="68" xfId="0" applyNumberFormat="1" applyFont="1" applyFill="1" applyBorder="1" applyAlignment="1">
      <alignment horizontal="left" vertical="center"/>
    </xf>
    <xf numFmtId="40" fontId="13" fillId="0" borderId="37" xfId="0" applyNumberFormat="1" applyFont="1" applyFill="1" applyBorder="1" applyAlignment="1">
      <alignment vertical="center"/>
    </xf>
    <xf numFmtId="40" fontId="13" fillId="0" borderId="68" xfId="0" applyNumberFormat="1" applyFont="1" applyFill="1" applyBorder="1" applyAlignment="1">
      <alignment vertical="center"/>
    </xf>
    <xf numFmtId="165" fontId="12" fillId="0" borderId="0" xfId="57" applyFont="1" applyFill="1" applyBorder="1" applyAlignment="1" applyProtection="1">
      <alignment horizontal="center" vertical="center"/>
      <protection/>
    </xf>
    <xf numFmtId="40" fontId="12" fillId="35" borderId="25" xfId="0" applyNumberFormat="1" applyFont="1" applyFill="1" applyBorder="1" applyAlignment="1">
      <alignment vertical="center"/>
    </xf>
    <xf numFmtId="40" fontId="12" fillId="0" borderId="29" xfId="0" applyNumberFormat="1" applyFont="1" applyFill="1" applyBorder="1" applyAlignment="1">
      <alignment vertical="center"/>
    </xf>
    <xf numFmtId="43" fontId="0" fillId="0" borderId="0" xfId="0" applyNumberFormat="1" applyFont="1" applyFill="1" applyAlignment="1">
      <alignment horizontal="left" vertical="center"/>
    </xf>
    <xf numFmtId="2" fontId="0" fillId="0" borderId="0" xfId="57" applyNumberFormat="1" applyFont="1" applyFill="1" applyBorder="1" applyAlignment="1" applyProtection="1">
      <alignment horizontal="center" vertical="center"/>
      <protection/>
    </xf>
    <xf numFmtId="167" fontId="19" fillId="0" borderId="0" xfId="51" applyNumberFormat="1" applyFont="1" applyFill="1" applyAlignment="1">
      <alignment horizontal="center" vertical="center"/>
      <protection/>
    </xf>
    <xf numFmtId="165" fontId="19" fillId="0" borderId="0" xfId="62" applyFont="1" applyFill="1" applyBorder="1" applyAlignment="1" applyProtection="1">
      <alignment horizontal="right" vertical="center"/>
      <protection/>
    </xf>
    <xf numFmtId="165" fontId="19" fillId="0" borderId="0" xfId="62" applyFont="1" applyFill="1" applyBorder="1" applyAlignment="1" applyProtection="1">
      <alignment horizontal="center" vertical="center"/>
      <protection/>
    </xf>
    <xf numFmtId="4" fontId="26" fillId="0" borderId="0" xfId="51" applyNumberFormat="1" applyFont="1" applyFill="1" applyBorder="1" applyAlignment="1">
      <alignment horizontal="left" vertical="center"/>
      <protection/>
    </xf>
    <xf numFmtId="4" fontId="26" fillId="0" borderId="0" xfId="51" applyNumberFormat="1" applyFont="1" applyFill="1" applyAlignment="1">
      <alignment horizontal="left" vertical="center"/>
      <protection/>
    </xf>
    <xf numFmtId="165" fontId="13" fillId="0" borderId="69" xfId="57" applyFont="1" applyFill="1" applyBorder="1" applyAlignment="1" applyProtection="1">
      <alignment horizontal="center" vertical="center"/>
      <protection/>
    </xf>
    <xf numFmtId="4" fontId="23" fillId="0" borderId="42" xfId="52" applyNumberFormat="1" applyFont="1" applyFill="1" applyBorder="1" applyAlignment="1">
      <alignment vertical="center"/>
      <protection/>
    </xf>
    <xf numFmtId="0" fontId="23" fillId="35" borderId="63" xfId="52" applyFont="1" applyFill="1" applyBorder="1" applyAlignment="1">
      <alignment horizontal="center" vertical="center"/>
      <protection/>
    </xf>
    <xf numFmtId="0" fontId="23" fillId="35" borderId="39" xfId="52" applyFont="1" applyFill="1" applyBorder="1" applyAlignment="1">
      <alignment horizontal="center" vertical="center"/>
      <protection/>
    </xf>
    <xf numFmtId="0" fontId="23" fillId="35" borderId="52" xfId="52" applyFont="1" applyFill="1" applyBorder="1" applyAlignment="1">
      <alignment vertical="center"/>
      <protection/>
    </xf>
    <xf numFmtId="0" fontId="18" fillId="35" borderId="54" xfId="52" applyFont="1" applyFill="1" applyBorder="1" applyAlignment="1">
      <alignment vertical="center"/>
      <protection/>
    </xf>
    <xf numFmtId="0" fontId="22" fillId="35" borderId="42" xfId="52" applyFont="1" applyFill="1" applyBorder="1" applyAlignment="1">
      <alignment horizontal="center" vertical="center"/>
      <protection/>
    </xf>
    <xf numFmtId="0" fontId="12" fillId="35" borderId="10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 wrapText="1"/>
    </xf>
    <xf numFmtId="0" fontId="13" fillId="35" borderId="6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20" fillId="35" borderId="13" xfId="0" applyFont="1" applyFill="1" applyBorder="1" applyAlignment="1">
      <alignment horizontal="center" vertical="center"/>
    </xf>
    <xf numFmtId="0" fontId="19" fillId="35" borderId="19" xfId="0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center" vertical="center"/>
    </xf>
    <xf numFmtId="0" fontId="19" fillId="35" borderId="15" xfId="0" applyFont="1" applyFill="1" applyBorder="1" applyAlignment="1">
      <alignment horizontal="center" vertical="center"/>
    </xf>
    <xf numFmtId="37" fontId="19" fillId="35" borderId="15" xfId="0" applyNumberFormat="1" applyFont="1" applyFill="1" applyBorder="1" applyAlignment="1">
      <alignment horizontal="center" vertical="center"/>
    </xf>
    <xf numFmtId="0" fontId="19" fillId="35" borderId="64" xfId="0" applyFont="1" applyFill="1" applyBorder="1" applyAlignment="1">
      <alignment horizontal="center" vertical="center"/>
    </xf>
    <xf numFmtId="4" fontId="19" fillId="35" borderId="70" xfId="0" applyNumberFormat="1" applyFont="1" applyFill="1" applyBorder="1" applyAlignment="1">
      <alignment horizontal="center" vertical="center" wrapText="1"/>
    </xf>
    <xf numFmtId="0" fontId="19" fillId="35" borderId="56" xfId="0" applyFont="1" applyFill="1" applyBorder="1" applyAlignment="1">
      <alignment horizontal="center" vertical="center" wrapText="1"/>
    </xf>
    <xf numFmtId="0" fontId="30" fillId="35" borderId="43" xfId="0" applyFont="1" applyFill="1" applyBorder="1" applyAlignment="1">
      <alignment horizontal="center" vertical="center"/>
    </xf>
    <xf numFmtId="165" fontId="18" fillId="0" borderId="12" xfId="48" applyNumberFormat="1" applyFont="1" applyFill="1" applyBorder="1" applyAlignment="1">
      <alignment horizontal="center" vertical="center"/>
      <protection/>
    </xf>
    <xf numFmtId="2" fontId="18" fillId="35" borderId="12" xfId="59" applyNumberFormat="1" applyFont="1" applyFill="1" applyBorder="1" applyAlignment="1" applyProtection="1">
      <alignment horizontal="center" vertical="center"/>
      <protection/>
    </xf>
    <xf numFmtId="43" fontId="18" fillId="0" borderId="0" xfId="0" applyNumberFormat="1" applyFont="1" applyFill="1" applyBorder="1" applyAlignment="1">
      <alignment/>
    </xf>
    <xf numFmtId="40" fontId="12" fillId="35" borderId="63" xfId="57" applyNumberFormat="1" applyFont="1" applyFill="1" applyBorder="1" applyAlignment="1" applyProtection="1">
      <alignment horizontal="right" vertical="center"/>
      <protection/>
    </xf>
    <xf numFmtId="40" fontId="12" fillId="0" borderId="0" xfId="57" applyNumberFormat="1" applyFont="1" applyFill="1" applyBorder="1" applyAlignment="1" applyProtection="1">
      <alignment vertical="center"/>
      <protection/>
    </xf>
    <xf numFmtId="40" fontId="12" fillId="0" borderId="23" xfId="0" applyNumberFormat="1" applyFont="1" applyFill="1" applyBorder="1" applyAlignment="1">
      <alignment vertical="center"/>
    </xf>
    <xf numFmtId="40" fontId="13" fillId="35" borderId="55" xfId="0" applyNumberFormat="1" applyFont="1" applyFill="1" applyBorder="1" applyAlignment="1">
      <alignment vertical="center"/>
    </xf>
    <xf numFmtId="40" fontId="12" fillId="0" borderId="49" xfId="0" applyNumberFormat="1" applyFont="1" applyFill="1" applyBorder="1" applyAlignment="1">
      <alignment vertical="center"/>
    </xf>
    <xf numFmtId="165" fontId="23" fillId="0" borderId="16" xfId="59" applyFont="1" applyFill="1" applyBorder="1" applyAlignment="1" applyProtection="1">
      <alignment horizontal="right" vertical="center"/>
      <protection/>
    </xf>
    <xf numFmtId="164" fontId="18" fillId="0" borderId="0" xfId="48" applyNumberFormat="1" applyFont="1" applyFill="1">
      <alignment/>
      <protection/>
    </xf>
    <xf numFmtId="165" fontId="23" fillId="35" borderId="48" xfId="59" applyFont="1" applyFill="1" applyBorder="1" applyAlignment="1" applyProtection="1">
      <alignment horizontal="center" vertical="center"/>
      <protection/>
    </xf>
    <xf numFmtId="165" fontId="0" fillId="0" borderId="0" xfId="57" applyFont="1" applyFill="1" applyAlignment="1">
      <alignment horizontal="left" vertical="center"/>
    </xf>
    <xf numFmtId="165" fontId="0" fillId="0" borderId="0" xfId="57" applyFont="1" applyFill="1" applyAlignment="1">
      <alignment vertical="center"/>
    </xf>
    <xf numFmtId="165" fontId="11" fillId="0" borderId="0" xfId="57" applyFont="1" applyFill="1" applyAlignment="1">
      <alignment horizontal="center"/>
    </xf>
    <xf numFmtId="165" fontId="0" fillId="0" borderId="0" xfId="57" applyFont="1" applyFill="1" applyAlignment="1">
      <alignment horizontal="center"/>
    </xf>
    <xf numFmtId="165" fontId="7" fillId="0" borderId="0" xfId="57" applyFont="1" applyFill="1" applyBorder="1" applyAlignment="1" applyProtection="1">
      <alignment/>
      <protection/>
    </xf>
    <xf numFmtId="2" fontId="13" fillId="0" borderId="0" xfId="52" applyNumberFormat="1" applyFont="1" applyFill="1" applyAlignment="1">
      <alignment vertical="center"/>
      <protection/>
    </xf>
    <xf numFmtId="165" fontId="19" fillId="0" borderId="26" xfId="60" applyFont="1" applyFill="1" applyBorder="1" applyAlignment="1" applyProtection="1">
      <alignment horizontal="right" vertical="center"/>
      <protection/>
    </xf>
    <xf numFmtId="40" fontId="12" fillId="0" borderId="28" xfId="0" applyNumberFormat="1" applyFont="1" applyFill="1" applyBorder="1" applyAlignment="1">
      <alignment vertical="center"/>
    </xf>
    <xf numFmtId="165" fontId="23" fillId="0" borderId="42" xfId="59" applyFont="1" applyFill="1" applyBorder="1" applyAlignment="1" applyProtection="1">
      <alignment horizontal="right" vertical="center"/>
      <protection/>
    </xf>
    <xf numFmtId="165" fontId="18" fillId="0" borderId="40" xfId="63" applyNumberFormat="1" applyFont="1" applyFill="1" applyBorder="1" applyAlignment="1" applyProtection="1">
      <alignment horizontal="right" vertical="center"/>
      <protection/>
    </xf>
    <xf numFmtId="165" fontId="13" fillId="0" borderId="0" xfId="57" applyFont="1" applyFill="1" applyAlignment="1">
      <alignment/>
    </xf>
    <xf numFmtId="49" fontId="26" fillId="0" borderId="71" xfId="51" applyNumberFormat="1" applyFont="1" applyFill="1" applyBorder="1" applyAlignment="1">
      <alignment horizontal="center" vertical="center"/>
      <protection/>
    </xf>
    <xf numFmtId="4" fontId="26" fillId="0" borderId="52" xfId="51" applyNumberFormat="1" applyFont="1" applyFill="1" applyBorder="1" applyAlignment="1">
      <alignment horizontal="right" vertical="center"/>
      <protection/>
    </xf>
    <xf numFmtId="4" fontId="26" fillId="0" borderId="24" xfId="51" applyNumberFormat="1" applyFont="1" applyFill="1" applyBorder="1" applyAlignment="1">
      <alignment horizontal="right" vertical="center"/>
      <protection/>
    </xf>
    <xf numFmtId="4" fontId="26" fillId="0" borderId="13" xfId="51" applyNumberFormat="1" applyFont="1" applyFill="1" applyBorder="1" applyAlignment="1">
      <alignment horizontal="right" vertical="center"/>
      <protection/>
    </xf>
    <xf numFmtId="165" fontId="19" fillId="0" borderId="72" xfId="62" applyFont="1" applyFill="1" applyBorder="1" applyAlignment="1" applyProtection="1">
      <alignment horizontal="right" vertical="center"/>
      <protection/>
    </xf>
    <xf numFmtId="4" fontId="19" fillId="0" borderId="73" xfId="51" applyNumberFormat="1" applyFont="1" applyFill="1" applyBorder="1" applyAlignment="1">
      <alignment horizontal="right" vertical="center"/>
      <protection/>
    </xf>
    <xf numFmtId="165" fontId="19" fillId="0" borderId="40" xfId="62" applyFont="1" applyFill="1" applyBorder="1" applyAlignment="1" applyProtection="1">
      <alignment horizontal="center" vertical="center" wrapText="1"/>
      <protection/>
    </xf>
    <xf numFmtId="165" fontId="19" fillId="0" borderId="56" xfId="62" applyFont="1" applyFill="1" applyBorder="1" applyAlignment="1" applyProtection="1">
      <alignment horizontal="left" vertical="center"/>
      <protection/>
    </xf>
    <xf numFmtId="165" fontId="26" fillId="0" borderId="71" xfId="62" applyFont="1" applyFill="1" applyBorder="1" applyAlignment="1" applyProtection="1">
      <alignment horizontal="left" vertical="center"/>
      <protection/>
    </xf>
    <xf numFmtId="4" fontId="26" fillId="0" borderId="14" xfId="51" applyNumberFormat="1" applyFont="1" applyFill="1" applyBorder="1" applyAlignment="1">
      <alignment horizontal="right" vertical="center"/>
      <protection/>
    </xf>
    <xf numFmtId="165" fontId="19" fillId="0" borderId="57" xfId="62" applyFont="1" applyFill="1" applyBorder="1" applyAlignment="1" applyProtection="1">
      <alignment horizontal="left" vertical="center"/>
      <protection/>
    </xf>
    <xf numFmtId="4" fontId="26" fillId="0" borderId="74" xfId="51" applyNumberFormat="1" applyFont="1" applyFill="1" applyBorder="1" applyAlignment="1">
      <alignment horizontal="right" vertical="center"/>
      <protection/>
    </xf>
    <xf numFmtId="4" fontId="26" fillId="0" borderId="75" xfId="51" applyNumberFormat="1" applyFont="1" applyFill="1" applyBorder="1" applyAlignment="1">
      <alignment horizontal="right" vertical="center"/>
      <protection/>
    </xf>
    <xf numFmtId="165" fontId="19" fillId="0" borderId="42" xfId="62" applyFont="1" applyFill="1" applyBorder="1" applyAlignment="1" applyProtection="1">
      <alignment horizontal="left" vertical="center"/>
      <protection/>
    </xf>
    <xf numFmtId="165" fontId="19" fillId="0" borderId="42" xfId="62" applyFont="1" applyFill="1" applyBorder="1" applyAlignment="1" applyProtection="1">
      <alignment horizontal="right" vertical="center"/>
      <protection/>
    </xf>
    <xf numFmtId="4" fontId="19" fillId="0" borderId="42" xfId="51" applyNumberFormat="1" applyFont="1" applyFill="1" applyBorder="1" applyAlignment="1">
      <alignment horizontal="right" vertical="center"/>
      <protection/>
    </xf>
    <xf numFmtId="165" fontId="19" fillId="0" borderId="42" xfId="62" applyFont="1" applyFill="1" applyBorder="1" applyAlignment="1" applyProtection="1">
      <alignment horizontal="center" vertical="center" wrapText="1"/>
      <protection/>
    </xf>
    <xf numFmtId="0" fontId="19" fillId="0" borderId="42" xfId="51" applyNumberFormat="1" applyFont="1" applyFill="1" applyBorder="1">
      <alignment/>
      <protection/>
    </xf>
    <xf numFmtId="165" fontId="19" fillId="0" borderId="42" xfId="62" applyFont="1" applyFill="1" applyBorder="1" applyAlignment="1" applyProtection="1">
      <alignment/>
      <protection/>
    </xf>
    <xf numFmtId="0" fontId="26" fillId="0" borderId="42" xfId="51" applyNumberFormat="1" applyFont="1" applyFill="1" applyBorder="1">
      <alignment/>
      <protection/>
    </xf>
    <xf numFmtId="165" fontId="26" fillId="0" borderId="42" xfId="62" applyFont="1" applyFill="1" applyBorder="1" applyAlignment="1" applyProtection="1">
      <alignment horizontal="center" vertical="center" wrapText="1"/>
      <protection/>
    </xf>
    <xf numFmtId="40" fontId="12" fillId="0" borderId="76" xfId="0" applyNumberFormat="1" applyFont="1" applyFill="1" applyBorder="1" applyAlignment="1">
      <alignment vertical="center"/>
    </xf>
    <xf numFmtId="165" fontId="19" fillId="0" borderId="42" xfId="59" applyFont="1" applyBorder="1" applyAlignment="1">
      <alignment horizontal="right" vertical="center"/>
    </xf>
    <xf numFmtId="43" fontId="19" fillId="0" borderId="13" xfId="57" applyNumberFormat="1" applyFont="1" applyFill="1" applyBorder="1" applyAlignment="1" applyProtection="1">
      <alignment horizontal="center" vertical="center" wrapText="1"/>
      <protection/>
    </xf>
    <xf numFmtId="2" fontId="19" fillId="0" borderId="0" xfId="51" applyNumberFormat="1" applyFont="1" applyFill="1">
      <alignment/>
      <protection/>
    </xf>
    <xf numFmtId="165" fontId="0" fillId="0" borderId="0" xfId="57" applyFont="1" applyAlignment="1">
      <alignment/>
    </xf>
    <xf numFmtId="165" fontId="26" fillId="0" borderId="0" xfId="62" applyFont="1" applyFill="1" applyBorder="1" applyAlignment="1" applyProtection="1">
      <alignment horizontal="center" vertical="center" wrapText="1"/>
      <protection/>
    </xf>
    <xf numFmtId="165" fontId="11" fillId="35" borderId="33" xfId="57" applyFont="1" applyFill="1" applyBorder="1" applyAlignment="1">
      <alignment vertical="center"/>
    </xf>
    <xf numFmtId="37" fontId="13" fillId="0" borderId="0" xfId="0" applyNumberFormat="1" applyFont="1" applyAlignment="1">
      <alignment horizontal="left" vertical="center"/>
    </xf>
    <xf numFmtId="165" fontId="18" fillId="0" borderId="42" xfId="59" applyFont="1" applyFill="1" applyBorder="1" applyAlignment="1" applyProtection="1">
      <alignment horizontal="center" vertical="center" wrapText="1"/>
      <protection/>
    </xf>
    <xf numFmtId="165" fontId="18" fillId="0" borderId="42" xfId="59" applyFont="1" applyFill="1" applyBorder="1" applyAlignment="1" applyProtection="1">
      <alignment vertical="center" wrapText="1"/>
      <protection/>
    </xf>
    <xf numFmtId="40" fontId="12" fillId="0" borderId="63" xfId="57" applyNumberFormat="1" applyFont="1" applyFill="1" applyBorder="1" applyAlignment="1" applyProtection="1">
      <alignment horizontal="right" vertical="center"/>
      <protection/>
    </xf>
    <xf numFmtId="165" fontId="23" fillId="0" borderId="17" xfId="59" applyFont="1" applyFill="1" applyBorder="1" applyAlignment="1" applyProtection="1">
      <alignment horizontal="center" vertical="center"/>
      <protection/>
    </xf>
    <xf numFmtId="0" fontId="18" fillId="0" borderId="0" xfId="49" applyFont="1" applyFill="1" applyBorder="1" applyAlignment="1">
      <alignment horizontal="left"/>
      <protection/>
    </xf>
    <xf numFmtId="166" fontId="19" fillId="0" borderId="0" xfId="49" applyNumberFormat="1" applyFont="1" applyFill="1" applyBorder="1" applyAlignment="1">
      <alignment horizontal="right" vertical="center"/>
      <protection/>
    </xf>
    <xf numFmtId="165" fontId="19" fillId="0" borderId="26" xfId="61" applyFont="1" applyFill="1" applyBorder="1" applyAlignment="1" applyProtection="1">
      <alignment horizontal="right" vertical="center"/>
      <protection/>
    </xf>
    <xf numFmtId="165" fontId="18" fillId="0" borderId="0" xfId="49" applyNumberFormat="1" applyFont="1" applyFill="1" applyBorder="1" applyAlignment="1">
      <alignment horizontal="center" vertical="center"/>
      <protection/>
    </xf>
    <xf numFmtId="165" fontId="19" fillId="0" borderId="39" xfId="61" applyFont="1" applyFill="1" applyBorder="1" applyAlignment="1" applyProtection="1">
      <alignment horizontal="right" vertical="center" wrapText="1"/>
      <protection/>
    </xf>
    <xf numFmtId="165" fontId="19" fillId="0" borderId="26" xfId="61" applyFont="1" applyFill="1" applyBorder="1" applyAlignment="1" applyProtection="1">
      <alignment horizontal="right" vertical="center" wrapText="1"/>
      <protection/>
    </xf>
    <xf numFmtId="165" fontId="19" fillId="0" borderId="49" xfId="60" applyFont="1" applyFill="1" applyBorder="1" applyAlignment="1" applyProtection="1">
      <alignment horizontal="right" vertical="center"/>
      <protection/>
    </xf>
    <xf numFmtId="165" fontId="18" fillId="0" borderId="67" xfId="60" applyFont="1" applyFill="1" applyBorder="1" applyAlignment="1" applyProtection="1">
      <alignment horizontal="right" vertical="center"/>
      <protection/>
    </xf>
    <xf numFmtId="165" fontId="23" fillId="0" borderId="64" xfId="60" applyFont="1" applyFill="1" applyBorder="1" applyAlignment="1" applyProtection="1">
      <alignment horizontal="center" vertical="center"/>
      <protection/>
    </xf>
    <xf numFmtId="0" fontId="18" fillId="0" borderId="23" xfId="0" applyFont="1" applyFill="1" applyBorder="1" applyAlignment="1">
      <alignment horizontal="right" vertical="center"/>
    </xf>
    <xf numFmtId="165" fontId="23" fillId="0" borderId="64" xfId="59" applyFont="1" applyFill="1" applyBorder="1" applyAlignment="1" applyProtection="1">
      <alignment vertical="center" wrapText="1"/>
      <protection/>
    </xf>
    <xf numFmtId="165" fontId="18" fillId="0" borderId="16" xfId="59" applyFont="1" applyFill="1" applyBorder="1" applyAlignment="1" applyProtection="1">
      <alignment vertical="center" wrapText="1"/>
      <protection/>
    </xf>
    <xf numFmtId="16" fontId="18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/>
    </xf>
    <xf numFmtId="37" fontId="18" fillId="0" borderId="29" xfId="0" applyNumberFormat="1" applyFont="1" applyFill="1" applyBorder="1" applyAlignment="1">
      <alignment/>
    </xf>
    <xf numFmtId="0" fontId="18" fillId="0" borderId="29" xfId="0" applyFont="1" applyFill="1" applyBorder="1" applyAlignment="1">
      <alignment/>
    </xf>
    <xf numFmtId="165" fontId="18" fillId="0" borderId="29" xfId="59" applyFont="1" applyFill="1" applyBorder="1" applyAlignment="1" applyProtection="1">
      <alignment horizontal="center"/>
      <protection/>
    </xf>
    <xf numFmtId="40" fontId="13" fillId="0" borderId="69" xfId="0" applyNumberFormat="1" applyFont="1" applyFill="1" applyBorder="1" applyAlignment="1">
      <alignment vertical="center"/>
    </xf>
    <xf numFmtId="165" fontId="0" fillId="0" borderId="15" xfId="57" applyFont="1" applyFill="1" applyBorder="1" applyAlignment="1">
      <alignment horizontal="right" vertical="center"/>
    </xf>
    <xf numFmtId="165" fontId="0" fillId="0" borderId="0" xfId="57" applyFont="1" applyBorder="1" applyAlignment="1">
      <alignment horizontal="center" vertical="center"/>
    </xf>
    <xf numFmtId="165" fontId="13" fillId="0" borderId="0" xfId="57" applyFont="1" applyBorder="1" applyAlignment="1">
      <alignment horizontal="center" vertical="center"/>
    </xf>
    <xf numFmtId="165" fontId="19" fillId="0" borderId="0" xfId="60" applyFont="1" applyFill="1" applyBorder="1" applyAlignment="1" applyProtection="1">
      <alignment horizontal="right" vertical="center"/>
      <protection/>
    </xf>
    <xf numFmtId="165" fontId="18" fillId="0" borderId="0" xfId="49" applyNumberFormat="1" applyFont="1" applyBorder="1" applyAlignment="1">
      <alignment horizontal="center" vertical="center"/>
      <protection/>
    </xf>
    <xf numFmtId="165" fontId="0" fillId="0" borderId="0" xfId="57" applyFont="1" applyFill="1" applyBorder="1" applyAlignment="1">
      <alignment vertical="top"/>
    </xf>
    <xf numFmtId="0" fontId="23" fillId="35" borderId="54" xfId="52" applyFont="1" applyFill="1" applyBorder="1" applyAlignment="1">
      <alignment horizontal="center" vertical="center"/>
      <protection/>
    </xf>
    <xf numFmtId="0" fontId="23" fillId="35" borderId="54" xfId="52" applyFont="1" applyFill="1" applyBorder="1" applyAlignment="1">
      <alignment horizontal="center" vertical="center" wrapText="1"/>
      <protection/>
    </xf>
    <xf numFmtId="0" fontId="23" fillId="35" borderId="42" xfId="52" applyFont="1" applyFill="1" applyBorder="1" applyAlignment="1">
      <alignment horizontal="center" vertical="center"/>
      <protection/>
    </xf>
    <xf numFmtId="0" fontId="13" fillId="0" borderId="0" xfId="48" applyFont="1" applyFill="1" applyBorder="1" applyAlignment="1">
      <alignment/>
      <protection/>
    </xf>
    <xf numFmtId="165" fontId="0" fillId="0" borderId="0" xfId="59" applyFont="1" applyFill="1" applyAlignment="1">
      <alignment horizontal="center"/>
    </xf>
    <xf numFmtId="0" fontId="0" fillId="0" borderId="0" xfId="48">
      <alignment/>
      <protection/>
    </xf>
    <xf numFmtId="165" fontId="0" fillId="0" borderId="42" xfId="59" applyFont="1" applyFill="1" applyBorder="1" applyAlignment="1">
      <alignment vertical="center"/>
    </xf>
    <xf numFmtId="165" fontId="7" fillId="0" borderId="42" xfId="59" applyFont="1" applyFill="1" applyBorder="1" applyAlignment="1">
      <alignment vertical="center"/>
    </xf>
    <xf numFmtId="165" fontId="2" fillId="0" borderId="42" xfId="59" applyFont="1" applyFill="1" applyBorder="1" applyAlignment="1">
      <alignment vertical="center"/>
    </xf>
    <xf numFmtId="164" fontId="18" fillId="0" borderId="55" xfId="64" applyNumberFormat="1" applyFont="1" applyFill="1" applyBorder="1" applyAlignment="1">
      <alignment vertical="center"/>
    </xf>
    <xf numFmtId="165" fontId="18" fillId="0" borderId="55" xfId="59" applyFont="1" applyFill="1" applyBorder="1" applyAlignment="1">
      <alignment vertical="center"/>
    </xf>
    <xf numFmtId="164" fontId="23" fillId="0" borderId="53" xfId="64" applyNumberFormat="1" applyFont="1" applyFill="1" applyBorder="1" applyAlignment="1">
      <alignment vertical="center"/>
    </xf>
    <xf numFmtId="165" fontId="7" fillId="0" borderId="54" xfId="59" applyFont="1" applyFill="1" applyBorder="1" applyAlignment="1">
      <alignment horizontal="right" vertical="center"/>
    </xf>
    <xf numFmtId="165" fontId="2" fillId="0" borderId="54" xfId="59" applyFont="1" applyFill="1" applyBorder="1" applyAlignment="1">
      <alignment vertical="center"/>
    </xf>
    <xf numFmtId="165" fontId="2" fillId="0" borderId="54" xfId="59" applyFont="1" applyFill="1" applyBorder="1" applyAlignment="1">
      <alignment horizontal="right" vertical="center"/>
    </xf>
    <xf numFmtId="165" fontId="0" fillId="0" borderId="54" xfId="59" applyFont="1" applyFill="1" applyBorder="1" applyAlignment="1">
      <alignment vertical="center"/>
    </xf>
    <xf numFmtId="165" fontId="18" fillId="0" borderId="52" xfId="59" applyFont="1" applyFill="1" applyBorder="1" applyAlignment="1">
      <alignment horizontal="center" vertical="center"/>
    </xf>
    <xf numFmtId="165" fontId="23" fillId="0" borderId="53" xfId="52" applyNumberFormat="1" applyFont="1" applyFill="1" applyBorder="1" applyAlignment="1">
      <alignment vertical="center"/>
      <protection/>
    </xf>
    <xf numFmtId="0" fontId="7" fillId="0" borderId="0" xfId="48" applyFont="1" applyBorder="1" applyAlignment="1">
      <alignment horizontal="right" vertical="center"/>
      <protection/>
    </xf>
    <xf numFmtId="0" fontId="7" fillId="0" borderId="0" xfId="48" applyFont="1" applyBorder="1" applyAlignment="1">
      <alignment horizontal="center" vertical="center"/>
      <protection/>
    </xf>
    <xf numFmtId="4" fontId="23" fillId="0" borderId="31" xfId="52" applyNumberFormat="1" applyFont="1" applyFill="1" applyBorder="1" applyAlignment="1">
      <alignment horizontal="right" vertical="center"/>
      <protection/>
    </xf>
    <xf numFmtId="10" fontId="23" fillId="0" borderId="31" xfId="55" applyNumberFormat="1" applyFont="1" applyFill="1" applyBorder="1" applyAlignment="1">
      <alignment vertical="center"/>
    </xf>
    <xf numFmtId="0" fontId="23" fillId="0" borderId="31" xfId="52" applyFont="1" applyFill="1" applyBorder="1" applyAlignment="1">
      <alignment horizontal="right" vertical="center"/>
      <protection/>
    </xf>
    <xf numFmtId="2" fontId="19" fillId="0" borderId="0" xfId="52" applyNumberFormat="1" applyFont="1" applyFill="1" applyAlignment="1">
      <alignment vertical="center"/>
      <protection/>
    </xf>
    <xf numFmtId="2" fontId="13" fillId="0" borderId="0" xfId="52" applyNumberFormat="1" applyFont="1" applyFill="1" applyBorder="1" applyAlignment="1">
      <alignment vertical="center"/>
      <protection/>
    </xf>
    <xf numFmtId="2" fontId="19" fillId="0" borderId="0" xfId="52" applyNumberFormat="1" applyFont="1" applyFill="1" applyBorder="1" applyAlignment="1">
      <alignment vertical="center"/>
      <protection/>
    </xf>
    <xf numFmtId="2" fontId="13" fillId="0" borderId="0" xfId="52" applyNumberFormat="1" applyFont="1" applyFill="1" applyBorder="1" applyAlignment="1">
      <alignment horizontal="left"/>
      <protection/>
    </xf>
    <xf numFmtId="4" fontId="18" fillId="0" borderId="55" xfId="52" applyNumberFormat="1" applyFont="1" applyFill="1" applyBorder="1" applyAlignment="1">
      <alignment vertical="center"/>
      <protection/>
    </xf>
    <xf numFmtId="0" fontId="90" fillId="0" borderId="0" xfId="48" applyFont="1" applyAlignment="1">
      <alignment horizontal="center" readingOrder="1"/>
      <protection/>
    </xf>
    <xf numFmtId="0" fontId="91" fillId="0" borderId="0" xfId="48" applyFont="1" applyAlignment="1">
      <alignment horizontal="center" readingOrder="1"/>
      <protection/>
    </xf>
    <xf numFmtId="0" fontId="90" fillId="0" borderId="0" xfId="48" applyFont="1" applyAlignment="1">
      <alignment horizontal="center" readingOrder="2"/>
      <protection/>
    </xf>
    <xf numFmtId="0" fontId="91" fillId="0" borderId="0" xfId="48" applyFont="1" applyAlignment="1">
      <alignment horizontal="center" readingOrder="2"/>
      <protection/>
    </xf>
    <xf numFmtId="0" fontId="23" fillId="0" borderId="0" xfId="52" applyFont="1" applyFill="1" applyBorder="1" applyAlignment="1">
      <alignment horizontal="left" vertical="center"/>
      <protection/>
    </xf>
    <xf numFmtId="4" fontId="0" fillId="0" borderId="0" xfId="0" applyNumberFormat="1" applyAlignment="1">
      <alignment vertical="center"/>
    </xf>
    <xf numFmtId="165" fontId="0" fillId="0" borderId="0" xfId="57" applyFont="1" applyAlignment="1">
      <alignment horizontal="center" vertical="center"/>
    </xf>
    <xf numFmtId="165" fontId="18" fillId="0" borderId="16" xfId="59" applyFont="1" applyFill="1" applyBorder="1" applyAlignment="1" applyProtection="1">
      <alignment horizontal="center" vertical="center" wrapText="1"/>
      <protection/>
    </xf>
    <xf numFmtId="165" fontId="18" fillId="0" borderId="12" xfId="59" applyFont="1" applyFill="1" applyBorder="1" applyAlignment="1" applyProtection="1">
      <alignment horizontal="center" vertical="center" wrapText="1"/>
      <protection/>
    </xf>
    <xf numFmtId="165" fontId="18" fillId="0" borderId="21" xfId="59" applyFont="1" applyFill="1" applyBorder="1" applyAlignment="1" applyProtection="1">
      <alignment horizontal="center" vertical="center" wrapText="1"/>
      <protection/>
    </xf>
    <xf numFmtId="165" fontId="23" fillId="0" borderId="16" xfId="59" applyFont="1" applyFill="1" applyBorder="1" applyAlignment="1" applyProtection="1">
      <alignment horizontal="right" vertical="center" wrapText="1"/>
      <protection/>
    </xf>
    <xf numFmtId="165" fontId="23" fillId="0" borderId="16" xfId="59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>
      <alignment horizontal="left"/>
    </xf>
    <xf numFmtId="165" fontId="26" fillId="35" borderId="16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vertical="center" wrapText="1"/>
    </xf>
    <xf numFmtId="169" fontId="19" fillId="0" borderId="14" xfId="0" applyNumberFormat="1" applyFont="1" applyFill="1" applyBorder="1" applyAlignment="1">
      <alignment horizontal="center" vertical="center" wrapText="1"/>
    </xf>
    <xf numFmtId="166" fontId="18" fillId="0" borderId="0" xfId="0" applyNumberFormat="1" applyFont="1" applyFill="1" applyBorder="1" applyAlignment="1">
      <alignment horizontal="right"/>
    </xf>
    <xf numFmtId="165" fontId="23" fillId="0" borderId="34" xfId="59" applyFont="1" applyFill="1" applyBorder="1" applyAlignment="1" applyProtection="1">
      <alignment vertical="top" wrapText="1"/>
      <protection/>
    </xf>
    <xf numFmtId="165" fontId="23" fillId="0" borderId="36" xfId="59" applyFont="1" applyFill="1" applyBorder="1" applyAlignment="1" applyProtection="1">
      <alignment vertical="top" wrapText="1"/>
      <protection/>
    </xf>
    <xf numFmtId="165" fontId="23" fillId="0" borderId="28" xfId="59" applyFont="1" applyFill="1" applyBorder="1" applyAlignment="1" applyProtection="1">
      <alignment vertical="top" wrapText="1"/>
      <protection/>
    </xf>
    <xf numFmtId="165" fontId="23" fillId="0" borderId="0" xfId="59" applyFont="1" applyFill="1" applyBorder="1" applyAlignment="1" applyProtection="1">
      <alignment vertical="top" wrapText="1"/>
      <protection/>
    </xf>
    <xf numFmtId="165" fontId="23" fillId="0" borderId="12" xfId="59" applyFont="1" applyFill="1" applyBorder="1" applyAlignment="1" applyProtection="1">
      <alignment vertical="top" wrapText="1"/>
      <protection/>
    </xf>
    <xf numFmtId="165" fontId="23" fillId="0" borderId="29" xfId="59" applyFont="1" applyFill="1" applyBorder="1" applyAlignment="1" applyProtection="1">
      <alignment vertical="top" wrapText="1"/>
      <protection/>
    </xf>
    <xf numFmtId="165" fontId="23" fillId="0" borderId="14" xfId="59" applyFont="1" applyFill="1" applyBorder="1" applyAlignment="1" applyProtection="1">
      <alignment vertical="top" wrapText="1"/>
      <protection/>
    </xf>
    <xf numFmtId="165" fontId="23" fillId="0" borderId="23" xfId="59" applyFont="1" applyFill="1" applyBorder="1" applyAlignment="1" applyProtection="1">
      <alignment vertical="top" wrapText="1"/>
      <protection/>
    </xf>
    <xf numFmtId="165" fontId="23" fillId="0" borderId="45" xfId="59" applyFont="1" applyFill="1" applyBorder="1" applyAlignment="1" applyProtection="1">
      <alignment vertical="top" wrapText="1"/>
      <protection/>
    </xf>
    <xf numFmtId="165" fontId="18" fillId="0" borderId="21" xfId="59" applyFont="1" applyFill="1" applyBorder="1" applyAlignment="1" applyProtection="1">
      <alignment vertical="center" wrapText="1"/>
      <protection/>
    </xf>
    <xf numFmtId="165" fontId="18" fillId="0" borderId="20" xfId="59" applyFont="1" applyFill="1" applyBorder="1" applyAlignment="1" applyProtection="1">
      <alignment vertical="center" wrapText="1"/>
      <protection/>
    </xf>
    <xf numFmtId="165" fontId="18" fillId="0" borderId="16" xfId="59" applyFont="1" applyFill="1" applyBorder="1" applyAlignment="1" applyProtection="1">
      <alignment horizontal="right" vertical="center"/>
      <protection/>
    </xf>
    <xf numFmtId="0" fontId="18" fillId="0" borderId="44" xfId="0" applyFont="1" applyFill="1" applyBorder="1" applyAlignment="1">
      <alignment horizontal="center" vertical="center" wrapText="1"/>
    </xf>
    <xf numFmtId="165" fontId="18" fillId="0" borderId="53" xfId="59" applyFont="1" applyFill="1" applyBorder="1" applyAlignment="1" applyProtection="1">
      <alignment horizontal="center" vertical="center" wrapText="1"/>
      <protection/>
    </xf>
    <xf numFmtId="165" fontId="18" fillId="0" borderId="63" xfId="59" applyFont="1" applyFill="1" applyBorder="1" applyAlignment="1" applyProtection="1">
      <alignment vertical="center" wrapText="1"/>
      <protection/>
    </xf>
    <xf numFmtId="0" fontId="18" fillId="0" borderId="19" xfId="0" applyFont="1" applyFill="1" applyBorder="1" applyAlignment="1">
      <alignment horizontal="center" vertical="center" wrapText="1"/>
    </xf>
    <xf numFmtId="165" fontId="23" fillId="0" borderId="77" xfId="59" applyFont="1" applyFill="1" applyBorder="1" applyAlignment="1" applyProtection="1">
      <alignment horizontal="right" vertical="center"/>
      <protection/>
    </xf>
    <xf numFmtId="0" fontId="18" fillId="0" borderId="42" xfId="49" applyFont="1" applyBorder="1" applyAlignment="1">
      <alignment horizontal="center" vertical="center"/>
      <protection/>
    </xf>
    <xf numFmtId="3" fontId="23" fillId="0" borderId="31" xfId="49" applyNumberFormat="1" applyFont="1" applyFill="1" applyBorder="1" applyAlignment="1">
      <alignment vertical="center"/>
      <protection/>
    </xf>
    <xf numFmtId="0" fontId="19" fillId="0" borderId="41" xfId="49" applyFont="1" applyFill="1" applyBorder="1" applyAlignment="1">
      <alignment vertical="center"/>
      <protection/>
    </xf>
    <xf numFmtId="165" fontId="0" fillId="0" borderId="42" xfId="57" applyFont="1" applyBorder="1" applyAlignment="1">
      <alignment horizontal="center" vertical="center"/>
    </xf>
    <xf numFmtId="4" fontId="26" fillId="0" borderId="53" xfId="51" applyNumberFormat="1" applyFont="1" applyBorder="1" applyAlignment="1">
      <alignment vertical="center"/>
      <protection/>
    </xf>
    <xf numFmtId="165" fontId="26" fillId="0" borderId="53" xfId="59" applyFont="1" applyBorder="1" applyAlignment="1">
      <alignment vertical="center"/>
    </xf>
    <xf numFmtId="165" fontId="19" fillId="0" borderId="16" xfId="62" applyFont="1" applyFill="1" applyBorder="1" applyAlignment="1" applyProtection="1">
      <alignment horizontal="right" vertical="center"/>
      <protection/>
    </xf>
    <xf numFmtId="4" fontId="26" fillId="0" borderId="16" xfId="51" applyNumberFormat="1" applyFont="1" applyFill="1" applyBorder="1" applyAlignment="1">
      <alignment horizontal="right" vertical="center"/>
      <protection/>
    </xf>
    <xf numFmtId="4" fontId="19" fillId="0" borderId="53" xfId="51" applyNumberFormat="1" applyFont="1" applyBorder="1" applyAlignment="1">
      <alignment vertical="center"/>
      <protection/>
    </xf>
    <xf numFmtId="0" fontId="19" fillId="0" borderId="53" xfId="51" applyFont="1" applyBorder="1">
      <alignment/>
      <protection/>
    </xf>
    <xf numFmtId="4" fontId="26" fillId="0" borderId="56" xfId="51" applyNumberFormat="1" applyFont="1" applyBorder="1" applyAlignment="1">
      <alignment vertical="center"/>
      <protection/>
    </xf>
    <xf numFmtId="4" fontId="26" fillId="0" borderId="26" xfId="51" applyNumberFormat="1" applyFont="1" applyFill="1" applyBorder="1" applyAlignment="1">
      <alignment horizontal="right" vertical="center"/>
      <protection/>
    </xf>
    <xf numFmtId="4" fontId="26" fillId="0" borderId="64" xfId="51" applyNumberFormat="1" applyFont="1" applyFill="1" applyBorder="1" applyAlignment="1">
      <alignment horizontal="right" vertical="center"/>
      <protection/>
    </xf>
    <xf numFmtId="4" fontId="26" fillId="0" borderId="42" xfId="51" applyNumberFormat="1" applyFont="1" applyBorder="1" applyAlignment="1">
      <alignment vertical="center"/>
      <protection/>
    </xf>
    <xf numFmtId="4" fontId="26" fillId="0" borderId="49" xfId="51" applyNumberFormat="1" applyFont="1" applyFill="1" applyBorder="1" applyAlignment="1">
      <alignment horizontal="right" vertical="center"/>
      <protection/>
    </xf>
    <xf numFmtId="165" fontId="23" fillId="0" borderId="16" xfId="63" applyNumberFormat="1" applyFont="1" applyFill="1" applyBorder="1" applyAlignment="1" applyProtection="1">
      <alignment horizontal="right" vertical="center" wrapText="1"/>
      <protection/>
    </xf>
    <xf numFmtId="0" fontId="18" fillId="35" borderId="14" xfId="0" applyFont="1" applyFill="1" applyBorder="1" applyAlignment="1">
      <alignment horizontal="center" vertical="top" wrapText="1"/>
    </xf>
    <xf numFmtId="0" fontId="18" fillId="35" borderId="42" xfId="0" applyFont="1" applyFill="1" applyBorder="1" applyAlignment="1">
      <alignment horizontal="center" wrapText="1"/>
    </xf>
    <xf numFmtId="165" fontId="26" fillId="35" borderId="10" xfId="0" applyNumberFormat="1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left" vertical="center" indent="1"/>
    </xf>
    <xf numFmtId="165" fontId="23" fillId="35" borderId="12" xfId="63" applyNumberFormat="1" applyFont="1" applyFill="1" applyBorder="1" applyAlignment="1" applyProtection="1">
      <alignment horizontal="center" vertical="center"/>
      <protection/>
    </xf>
    <xf numFmtId="165" fontId="18" fillId="35" borderId="12" xfId="63" applyNumberFormat="1" applyFont="1" applyFill="1" applyBorder="1" applyAlignment="1" applyProtection="1">
      <alignment horizontal="center" vertical="center"/>
      <protection/>
    </xf>
    <xf numFmtId="0" fontId="18" fillId="35" borderId="2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wrapText="1"/>
    </xf>
    <xf numFmtId="165" fontId="7" fillId="0" borderId="16" xfId="0" applyNumberFormat="1" applyFont="1" applyFill="1" applyBorder="1" applyAlignment="1">
      <alignment vertical="center"/>
    </xf>
    <xf numFmtId="165" fontId="23" fillId="0" borderId="29" xfId="63" applyNumberFormat="1" applyFont="1" applyFill="1" applyBorder="1" applyAlignment="1" applyProtection="1">
      <alignment horizontal="right" vertical="center"/>
      <protection/>
    </xf>
    <xf numFmtId="165" fontId="18" fillId="35" borderId="63" xfId="63" applyNumberFormat="1" applyFont="1" applyFill="1" applyBorder="1" applyAlignment="1" applyProtection="1">
      <alignment horizontal="right" vertical="center"/>
      <protection/>
    </xf>
    <xf numFmtId="165" fontId="18" fillId="35" borderId="39" xfId="63" applyNumberFormat="1" applyFont="1" applyFill="1" applyBorder="1" applyAlignment="1" applyProtection="1">
      <alignment horizontal="right" vertical="center"/>
      <protection/>
    </xf>
    <xf numFmtId="165" fontId="18" fillId="35" borderId="52" xfId="63" applyNumberFormat="1" applyFont="1" applyFill="1" applyBorder="1" applyAlignment="1" applyProtection="1">
      <alignment horizontal="right" vertical="center"/>
      <protection/>
    </xf>
    <xf numFmtId="165" fontId="23" fillId="35" borderId="18" xfId="63" applyNumberFormat="1" applyFont="1" applyFill="1" applyBorder="1" applyAlignment="1" applyProtection="1">
      <alignment horizontal="right" vertical="center"/>
      <protection/>
    </xf>
    <xf numFmtId="165" fontId="23" fillId="35" borderId="42" xfId="63" applyNumberFormat="1" applyFont="1" applyFill="1" applyBorder="1" applyAlignment="1" applyProtection="1">
      <alignment horizontal="right" vertical="center"/>
      <protection/>
    </xf>
    <xf numFmtId="165" fontId="23" fillId="35" borderId="52" xfId="63" applyNumberFormat="1" applyFont="1" applyFill="1" applyBorder="1" applyAlignment="1" applyProtection="1">
      <alignment horizontal="right" vertical="center"/>
      <protection/>
    </xf>
    <xf numFmtId="0" fontId="23" fillId="0" borderId="29" xfId="0" applyFont="1" applyFill="1" applyBorder="1" applyAlignment="1">
      <alignment horizontal="center" vertical="center"/>
    </xf>
    <xf numFmtId="165" fontId="23" fillId="0" borderId="18" xfId="63" applyNumberFormat="1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 wrapText="1"/>
    </xf>
    <xf numFmtId="165" fontId="23" fillId="0" borderId="20" xfId="63" applyNumberFormat="1" applyFont="1" applyFill="1" applyBorder="1" applyAlignment="1" applyProtection="1">
      <alignment horizontal="left" vertical="center" wrapText="1"/>
      <protection/>
    </xf>
    <xf numFmtId="165" fontId="23" fillId="0" borderId="12" xfId="63" applyNumberFormat="1" applyFont="1" applyFill="1" applyBorder="1" applyAlignment="1" applyProtection="1">
      <alignment horizontal="left" vertical="center" wrapText="1"/>
      <protection/>
    </xf>
    <xf numFmtId="165" fontId="23" fillId="35" borderId="12" xfId="63" applyNumberFormat="1" applyFont="1" applyFill="1" applyBorder="1" applyAlignment="1" applyProtection="1">
      <alignment horizontal="left" vertical="center" wrapText="1"/>
      <protection/>
    </xf>
    <xf numFmtId="165" fontId="18" fillId="35" borderId="0" xfId="63" applyNumberFormat="1" applyFont="1" applyFill="1" applyBorder="1" applyAlignment="1" applyProtection="1">
      <alignment horizontal="left" vertical="center" wrapText="1"/>
      <protection/>
    </xf>
    <xf numFmtId="0" fontId="20" fillId="0" borderId="29" xfId="0" applyFont="1" applyFill="1" applyBorder="1" applyAlignment="1">
      <alignment horizontal="center"/>
    </xf>
    <xf numFmtId="165" fontId="23" fillId="0" borderId="63" xfId="63" applyNumberFormat="1" applyFont="1" applyFill="1" applyBorder="1" applyAlignment="1" applyProtection="1">
      <alignment horizontal="right" vertical="center" wrapText="1"/>
      <protection/>
    </xf>
    <xf numFmtId="0" fontId="18" fillId="0" borderId="14" xfId="0" applyFont="1" applyFill="1" applyBorder="1" applyAlignment="1">
      <alignment horizontal="center" vertical="center"/>
    </xf>
    <xf numFmtId="165" fontId="23" fillId="35" borderId="20" xfId="63" applyNumberFormat="1" applyFont="1" applyFill="1" applyBorder="1" applyAlignment="1" applyProtection="1">
      <alignment horizontal="center" vertical="center" wrapText="1"/>
      <protection/>
    </xf>
    <xf numFmtId="0" fontId="23" fillId="35" borderId="22" xfId="0" applyFont="1" applyFill="1" applyBorder="1" applyAlignment="1">
      <alignment vertical="top" wrapText="1"/>
    </xf>
    <xf numFmtId="43" fontId="23" fillId="35" borderId="22" xfId="0" applyNumberFormat="1" applyFont="1" applyFill="1" applyBorder="1" applyAlignment="1">
      <alignment vertical="top" wrapText="1"/>
    </xf>
    <xf numFmtId="0" fontId="23" fillId="0" borderId="31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/>
    </xf>
    <xf numFmtId="0" fontId="20" fillId="0" borderId="52" xfId="0" applyFont="1" applyFill="1" applyBorder="1" applyAlignment="1">
      <alignment horizontal="center"/>
    </xf>
    <xf numFmtId="165" fontId="23" fillId="35" borderId="21" xfId="63" applyNumberFormat="1" applyFont="1" applyFill="1" applyBorder="1" applyAlignment="1" applyProtection="1">
      <alignment vertical="center"/>
      <protection/>
    </xf>
    <xf numFmtId="165" fontId="23" fillId="35" borderId="25" xfId="63" applyNumberFormat="1" applyFont="1" applyFill="1" applyBorder="1" applyAlignment="1" applyProtection="1">
      <alignment vertical="center"/>
      <protection/>
    </xf>
    <xf numFmtId="165" fontId="23" fillId="35" borderId="63" xfId="63" applyNumberFormat="1" applyFont="1" applyFill="1" applyBorder="1" applyAlignment="1" applyProtection="1">
      <alignment vertical="center"/>
      <protection/>
    </xf>
    <xf numFmtId="0" fontId="23" fillId="0" borderId="42" xfId="0" applyFont="1" applyFill="1" applyBorder="1" applyAlignment="1">
      <alignment horizontal="left" vertical="top" wrapText="1"/>
    </xf>
    <xf numFmtId="165" fontId="23" fillId="35" borderId="42" xfId="0" applyNumberFormat="1" applyFont="1" applyFill="1" applyBorder="1" applyAlignment="1">
      <alignment horizontal="center" vertical="center"/>
    </xf>
    <xf numFmtId="165" fontId="23" fillId="35" borderId="42" xfId="0" applyNumberFormat="1" applyFont="1" applyFill="1" applyBorder="1" applyAlignment="1">
      <alignment vertical="center"/>
    </xf>
    <xf numFmtId="165" fontId="23" fillId="0" borderId="22" xfId="63" applyNumberFormat="1" applyFont="1" applyFill="1" applyBorder="1" applyAlignment="1" applyProtection="1">
      <alignment horizontal="left" vertical="center" wrapText="1"/>
      <protection/>
    </xf>
    <xf numFmtId="165" fontId="23" fillId="0" borderId="26" xfId="63" applyNumberFormat="1" applyFont="1" applyFill="1" applyBorder="1" applyAlignment="1" applyProtection="1">
      <alignment horizontal="right" vertical="center" wrapText="1"/>
      <protection/>
    </xf>
    <xf numFmtId="165" fontId="23" fillId="0" borderId="39" xfId="63" applyNumberFormat="1" applyFont="1" applyFill="1" applyBorder="1" applyAlignment="1" applyProtection="1">
      <alignment horizontal="right" vertical="center" wrapText="1"/>
      <protection/>
    </xf>
    <xf numFmtId="165" fontId="23" fillId="0" borderId="52" xfId="63" applyNumberFormat="1" applyFont="1" applyFill="1" applyBorder="1" applyAlignment="1" applyProtection="1">
      <alignment horizontal="right" vertical="center" wrapText="1"/>
      <protection/>
    </xf>
    <xf numFmtId="165" fontId="23" fillId="35" borderId="42" xfId="0" applyNumberFormat="1" applyFont="1" applyFill="1" applyBorder="1" applyAlignment="1">
      <alignment horizontal="right" vertical="center"/>
    </xf>
    <xf numFmtId="165" fontId="23" fillId="0" borderId="32" xfId="63" applyNumberFormat="1" applyFont="1" applyFill="1" applyBorder="1" applyAlignment="1" applyProtection="1">
      <alignment horizontal="right" vertical="center"/>
      <protection/>
    </xf>
    <xf numFmtId="165" fontId="23" fillId="0" borderId="46" xfId="63" applyNumberFormat="1" applyFont="1" applyFill="1" applyBorder="1" applyAlignment="1" applyProtection="1">
      <alignment horizontal="right" vertical="center"/>
      <protection/>
    </xf>
    <xf numFmtId="165" fontId="23" fillId="0" borderId="63" xfId="63" applyNumberFormat="1" applyFont="1" applyFill="1" applyBorder="1" applyAlignment="1" applyProtection="1">
      <alignment horizontal="right" vertical="center"/>
      <protection/>
    </xf>
    <xf numFmtId="0" fontId="18" fillId="0" borderId="29" xfId="0" applyFont="1" applyFill="1" applyBorder="1" applyAlignment="1">
      <alignment horizontal="right"/>
    </xf>
    <xf numFmtId="165" fontId="23" fillId="0" borderId="42" xfId="63" applyNumberFormat="1" applyFont="1" applyFill="1" applyBorder="1" applyAlignment="1" applyProtection="1">
      <alignment horizontal="right" vertical="center"/>
      <protection/>
    </xf>
    <xf numFmtId="0" fontId="23" fillId="0" borderId="42" xfId="0" applyFont="1" applyFill="1" applyBorder="1" applyAlignment="1">
      <alignment vertical="center"/>
    </xf>
    <xf numFmtId="43" fontId="18" fillId="0" borderId="0" xfId="0" applyNumberFormat="1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18" fillId="0" borderId="6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165" fontId="18" fillId="0" borderId="29" xfId="63" applyNumberFormat="1" applyFont="1" applyFill="1" applyBorder="1" applyAlignment="1" applyProtection="1">
      <alignment horizontal="right" vertical="center"/>
      <protection/>
    </xf>
    <xf numFmtId="0" fontId="23" fillId="0" borderId="52" xfId="0" applyFont="1" applyFill="1" applyBorder="1" applyAlignment="1">
      <alignment vertical="center"/>
    </xf>
    <xf numFmtId="0" fontId="23" fillId="0" borderId="34" xfId="0" applyFont="1" applyFill="1" applyBorder="1" applyAlignment="1">
      <alignment horizontal="left" vertical="top" wrapText="1"/>
    </xf>
    <xf numFmtId="165" fontId="23" fillId="35" borderId="34" xfId="0" applyNumberFormat="1" applyFont="1" applyFill="1" applyBorder="1" applyAlignment="1">
      <alignment horizontal="center" vertical="center"/>
    </xf>
    <xf numFmtId="165" fontId="23" fillId="35" borderId="34" xfId="0" applyNumberFormat="1" applyFont="1" applyFill="1" applyBorder="1" applyAlignment="1">
      <alignment horizontal="right" vertical="center"/>
    </xf>
    <xf numFmtId="165" fontId="23" fillId="35" borderId="34" xfId="0" applyNumberFormat="1" applyFont="1" applyFill="1" applyBorder="1" applyAlignment="1">
      <alignment vertical="center"/>
    </xf>
    <xf numFmtId="43" fontId="23" fillId="0" borderId="29" xfId="0" applyNumberFormat="1" applyFont="1" applyFill="1" applyBorder="1" applyAlignment="1">
      <alignment horizontal="center" vertical="center"/>
    </xf>
    <xf numFmtId="0" fontId="18" fillId="0" borderId="29" xfId="0" applyNumberFormat="1" applyFont="1" applyFill="1" applyBorder="1" applyAlignment="1">
      <alignment/>
    </xf>
    <xf numFmtId="0" fontId="13" fillId="0" borderId="29" xfId="0" applyFont="1" applyFill="1" applyBorder="1" applyAlignment="1">
      <alignment/>
    </xf>
    <xf numFmtId="165" fontId="18" fillId="0" borderId="0" xfId="0" applyNumberFormat="1" applyFont="1" applyFill="1" applyBorder="1" applyAlignment="1">
      <alignment horizontal="center" vertical="center" wrapText="1"/>
    </xf>
    <xf numFmtId="166" fontId="20" fillId="0" borderId="0" xfId="0" applyNumberFormat="1" applyFont="1" applyFill="1" applyBorder="1" applyAlignment="1">
      <alignment horizontal="right" vertical="center"/>
    </xf>
    <xf numFmtId="166" fontId="18" fillId="0" borderId="0" xfId="0" applyNumberFormat="1" applyFont="1" applyFill="1" applyBorder="1" applyAlignment="1">
      <alignment horizontal="right" vertical="center"/>
    </xf>
    <xf numFmtId="166" fontId="20" fillId="0" borderId="29" xfId="0" applyNumberFormat="1" applyFont="1" applyFill="1" applyBorder="1" applyAlignment="1">
      <alignment horizontal="right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vertical="center"/>
    </xf>
    <xf numFmtId="165" fontId="18" fillId="0" borderId="0" xfId="63" applyNumberFormat="1" applyFont="1" applyFill="1" applyBorder="1" applyAlignment="1" applyProtection="1">
      <alignment horizontal="right"/>
      <protection/>
    </xf>
    <xf numFmtId="4" fontId="18" fillId="0" borderId="55" xfId="52" applyNumberFormat="1" applyFont="1" applyFill="1" applyBorder="1" applyAlignment="1">
      <alignment horizontal="right" vertical="center"/>
      <protection/>
    </xf>
    <xf numFmtId="164" fontId="18" fillId="0" borderId="55" xfId="64" applyNumberFormat="1" applyFont="1" applyFill="1" applyBorder="1" applyAlignment="1">
      <alignment horizontal="right" vertical="center"/>
    </xf>
    <xf numFmtId="165" fontId="18" fillId="0" borderId="42" xfId="59" applyFont="1" applyBorder="1" applyAlignment="1">
      <alignment vertical="center"/>
    </xf>
    <xf numFmtId="165" fontId="23" fillId="0" borderId="42" xfId="59" applyFont="1" applyBorder="1" applyAlignment="1">
      <alignment vertical="center"/>
    </xf>
    <xf numFmtId="0" fontId="18" fillId="0" borderId="42" xfId="52" applyFont="1" applyFill="1" applyBorder="1" applyAlignment="1">
      <alignment vertical="center"/>
      <protection/>
    </xf>
    <xf numFmtId="10" fontId="18" fillId="0" borderId="53" xfId="52" applyNumberFormat="1" applyFont="1" applyFill="1" applyBorder="1" applyAlignment="1">
      <alignment horizontal="right" vertical="center"/>
      <protection/>
    </xf>
    <xf numFmtId="165" fontId="18" fillId="0" borderId="55" xfId="59" applyFont="1" applyBorder="1" applyAlignment="1">
      <alignment horizontal="right" vertical="center"/>
    </xf>
    <xf numFmtId="165" fontId="7" fillId="0" borderId="42" xfId="59" applyFont="1" applyFill="1" applyBorder="1" applyAlignment="1">
      <alignment horizontal="right" vertical="center"/>
    </xf>
    <xf numFmtId="43" fontId="0" fillId="0" borderId="42" xfId="0" applyNumberForma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2" xfId="0" applyBorder="1" applyAlignment="1">
      <alignment/>
    </xf>
    <xf numFmtId="43" fontId="0" fillId="0" borderId="42" xfId="0" applyNumberFormat="1" applyBorder="1" applyAlignment="1">
      <alignment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165" fontId="19" fillId="0" borderId="26" xfId="60" applyFont="1" applyFill="1" applyBorder="1" applyAlignment="1" applyProtection="1">
      <alignment horizontal="right" vertical="center" wrapText="1"/>
      <protection/>
    </xf>
    <xf numFmtId="165" fontId="26" fillId="0" borderId="26" xfId="60" applyFont="1" applyFill="1" applyBorder="1" applyAlignment="1" applyProtection="1">
      <alignment horizontal="right" vertical="center" wrapText="1"/>
      <protection/>
    </xf>
    <xf numFmtId="0" fontId="23" fillId="35" borderId="53" xfId="52" applyFont="1" applyFill="1" applyBorder="1" applyAlignment="1">
      <alignment horizontal="center" vertical="center" wrapText="1"/>
      <protection/>
    </xf>
    <xf numFmtId="0" fontId="20" fillId="0" borderId="46" xfId="0" applyFont="1" applyFill="1" applyBorder="1" applyAlignment="1">
      <alignment horizontal="left" vertical="center"/>
    </xf>
    <xf numFmtId="165" fontId="18" fillId="0" borderId="39" xfId="0" applyNumberFormat="1" applyFont="1" applyFill="1" applyBorder="1" applyAlignment="1">
      <alignment horizontal="center" vertical="center"/>
    </xf>
    <xf numFmtId="165" fontId="18" fillId="0" borderId="51" xfId="0" applyNumberFormat="1" applyFont="1" applyFill="1" applyBorder="1" applyAlignment="1">
      <alignment horizontal="center" vertical="center"/>
    </xf>
    <xf numFmtId="165" fontId="18" fillId="0" borderId="46" xfId="0" applyNumberFormat="1" applyFont="1" applyFill="1" applyBorder="1" applyAlignment="1">
      <alignment horizontal="center" vertical="center"/>
    </xf>
    <xf numFmtId="165" fontId="18" fillId="0" borderId="26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Alignment="1">
      <alignment vertical="center"/>
    </xf>
    <xf numFmtId="164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3" fillId="36" borderId="0" xfId="0" applyFont="1" applyFill="1" applyAlignment="1">
      <alignment vertical="center"/>
    </xf>
    <xf numFmtId="165" fontId="23" fillId="0" borderId="0" xfId="0" applyNumberFormat="1" applyFont="1" applyFill="1" applyAlignment="1">
      <alignment vertical="center"/>
    </xf>
    <xf numFmtId="164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49" fontId="20" fillId="0" borderId="46" xfId="0" applyNumberFormat="1" applyFont="1" applyFill="1" applyBorder="1" applyAlignment="1">
      <alignment horizontal="left" vertical="center"/>
    </xf>
    <xf numFmtId="164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3" fontId="18" fillId="0" borderId="0" xfId="0" applyNumberFormat="1" applyFont="1" applyFill="1" applyAlignment="1">
      <alignment vertical="center"/>
    </xf>
    <xf numFmtId="165" fontId="93" fillId="0" borderId="0" xfId="0" applyNumberFormat="1" applyFont="1" applyFill="1" applyAlignment="1">
      <alignment vertical="center"/>
    </xf>
    <xf numFmtId="0" fontId="22" fillId="0" borderId="46" xfId="0" applyFont="1" applyFill="1" applyBorder="1" applyAlignment="1">
      <alignment horizontal="left" vertical="center"/>
    </xf>
    <xf numFmtId="165" fontId="87" fillId="0" borderId="0" xfId="0" applyNumberFormat="1" applyFont="1" applyFill="1" applyAlignment="1">
      <alignment vertical="center"/>
    </xf>
    <xf numFmtId="2" fontId="18" fillId="0" borderId="0" xfId="0" applyNumberFormat="1" applyFont="1" applyFill="1" applyAlignment="1">
      <alignment vertical="center"/>
    </xf>
    <xf numFmtId="0" fontId="23" fillId="37" borderId="0" xfId="0" applyFont="1" applyFill="1" applyAlignment="1">
      <alignment vertical="center"/>
    </xf>
    <xf numFmtId="4" fontId="23" fillId="0" borderId="55" xfId="52" applyNumberFormat="1" applyFont="1" applyFill="1" applyBorder="1" applyAlignment="1">
      <alignment horizontal="right" vertical="center"/>
      <protection/>
    </xf>
    <xf numFmtId="0" fontId="18" fillId="0" borderId="51" xfId="49" applyFont="1" applyBorder="1" applyAlignment="1">
      <alignment horizontal="center" vertical="center"/>
      <protection/>
    </xf>
    <xf numFmtId="165" fontId="18" fillId="0" borderId="42" xfId="59" applyFont="1" applyBorder="1" applyAlignment="1">
      <alignment horizontal="right" vertical="center"/>
    </xf>
    <xf numFmtId="165" fontId="23" fillId="0" borderId="42" xfId="59" applyFont="1" applyBorder="1" applyAlignment="1">
      <alignment horizontal="right" vertical="center"/>
    </xf>
    <xf numFmtId="165" fontId="23" fillId="0" borderId="55" xfId="59" applyFont="1" applyBorder="1" applyAlignment="1">
      <alignment horizontal="right" vertical="center"/>
    </xf>
    <xf numFmtId="4" fontId="23" fillId="0" borderId="55" xfId="52" applyNumberFormat="1" applyFont="1" applyFill="1" applyBorder="1" applyAlignment="1">
      <alignment vertical="center"/>
      <protection/>
    </xf>
    <xf numFmtId="165" fontId="11" fillId="0" borderId="55" xfId="57" applyFont="1" applyFill="1" applyBorder="1" applyAlignment="1">
      <alignment vertical="center"/>
    </xf>
    <xf numFmtId="164" fontId="18" fillId="0" borderId="42" xfId="64" applyNumberFormat="1" applyFont="1" applyFill="1" applyBorder="1" applyAlignment="1">
      <alignment horizontal="right" vertical="center"/>
    </xf>
    <xf numFmtId="164" fontId="23" fillId="0" borderId="42" xfId="64" applyNumberFormat="1" applyFont="1" applyFill="1" applyBorder="1" applyAlignment="1">
      <alignment horizontal="right" vertical="center"/>
    </xf>
    <xf numFmtId="164" fontId="23" fillId="0" borderId="55" xfId="64" applyNumberFormat="1" applyFont="1" applyFill="1" applyBorder="1" applyAlignment="1">
      <alignment horizontal="right" vertical="center"/>
    </xf>
    <xf numFmtId="165" fontId="0" fillId="0" borderId="0" xfId="57" applyFont="1" applyAlignment="1">
      <alignment vertical="center"/>
    </xf>
    <xf numFmtId="2" fontId="18" fillId="0" borderId="29" xfId="0" applyNumberFormat="1" applyFont="1" applyFill="1" applyBorder="1" applyAlignment="1">
      <alignment horizontal="right"/>
    </xf>
    <xf numFmtId="2" fontId="18" fillId="0" borderId="63" xfId="0" applyNumberFormat="1" applyFont="1" applyFill="1" applyBorder="1" applyAlignment="1">
      <alignment horizontal="right" vertical="center"/>
    </xf>
    <xf numFmtId="165" fontId="3" fillId="0" borderId="13" xfId="57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left" indent="6"/>
    </xf>
    <xf numFmtId="0" fontId="5" fillId="0" borderId="0" xfId="0" applyFont="1" applyFill="1" applyAlignment="1">
      <alignment horizontal="left"/>
    </xf>
    <xf numFmtId="40" fontId="13" fillId="0" borderId="0" xfId="57" applyNumberFormat="1" applyFont="1" applyFill="1" applyBorder="1" applyAlignment="1" applyProtection="1">
      <alignment horizontal="center" vertical="center"/>
      <protection/>
    </xf>
    <xf numFmtId="165" fontId="3" fillId="0" borderId="20" xfId="57" applyFont="1" applyFill="1" applyBorder="1" applyAlignment="1" applyProtection="1">
      <alignment horizontal="center"/>
      <protection/>
    </xf>
    <xf numFmtId="165" fontId="3" fillId="0" borderId="0" xfId="57" applyFont="1" applyFill="1" applyBorder="1" applyAlignment="1" applyProtection="1">
      <alignment horizontal="left"/>
      <protection/>
    </xf>
    <xf numFmtId="165" fontId="3" fillId="0" borderId="52" xfId="57" applyFont="1" applyFill="1" applyBorder="1" applyAlignment="1" applyProtection="1">
      <alignment horizontal="center" vertical="center" wrapText="1"/>
      <protection/>
    </xf>
    <xf numFmtId="165" fontId="0" fillId="0" borderId="66" xfId="57" applyFont="1" applyFill="1" applyBorder="1" applyAlignment="1" applyProtection="1">
      <alignment horizontal="center" vertical="center" wrapText="1"/>
      <protection/>
    </xf>
    <xf numFmtId="165" fontId="4" fillId="0" borderId="11" xfId="57" applyFont="1" applyFill="1" applyBorder="1" applyAlignment="1" applyProtection="1">
      <alignment vertical="center"/>
      <protection/>
    </xf>
    <xf numFmtId="165" fontId="4" fillId="0" borderId="78" xfId="57" applyFont="1" applyFill="1" applyBorder="1" applyAlignment="1" applyProtection="1">
      <alignment vertical="center"/>
      <protection/>
    </xf>
    <xf numFmtId="165" fontId="4" fillId="0" borderId="79" xfId="57" applyFont="1" applyFill="1" applyBorder="1" applyAlignment="1" applyProtection="1">
      <alignment vertical="center"/>
      <protection/>
    </xf>
    <xf numFmtId="165" fontId="4" fillId="0" borderId="56" xfId="57" applyFont="1" applyFill="1" applyBorder="1" applyAlignment="1" applyProtection="1">
      <alignment vertical="center"/>
      <protection/>
    </xf>
    <xf numFmtId="165" fontId="3" fillId="0" borderId="63" xfId="57" applyFont="1" applyFill="1" applyBorder="1" applyAlignment="1" applyProtection="1">
      <alignment horizontal="center" vertical="center" wrapText="1"/>
      <protection/>
    </xf>
    <xf numFmtId="165" fontId="3" fillId="0" borderId="22" xfId="57" applyFont="1" applyFill="1" applyBorder="1" applyAlignment="1" applyProtection="1">
      <alignment horizontal="center" wrapText="1"/>
      <protection/>
    </xf>
    <xf numFmtId="40" fontId="12" fillId="35" borderId="19" xfId="0" applyNumberFormat="1" applyFont="1" applyFill="1" applyBorder="1" applyAlignment="1">
      <alignment vertical="center"/>
    </xf>
    <xf numFmtId="40" fontId="12" fillId="35" borderId="28" xfId="0" applyNumberFormat="1" applyFont="1" applyFill="1" applyBorder="1" applyAlignment="1">
      <alignment vertical="center"/>
    </xf>
    <xf numFmtId="40" fontId="12" fillId="35" borderId="60" xfId="0" applyNumberFormat="1" applyFont="1" applyFill="1" applyBorder="1" applyAlignment="1">
      <alignment vertical="center"/>
    </xf>
    <xf numFmtId="40" fontId="12" fillId="0" borderId="11" xfId="0" applyNumberFormat="1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40" fontId="12" fillId="0" borderId="20" xfId="57" applyNumberFormat="1" applyFont="1" applyFill="1" applyBorder="1" applyAlignment="1" applyProtection="1">
      <alignment horizontal="right" vertical="center"/>
      <protection/>
    </xf>
    <xf numFmtId="40" fontId="12" fillId="35" borderId="36" xfId="57" applyNumberFormat="1" applyFont="1" applyFill="1" applyBorder="1" applyAlignment="1" applyProtection="1">
      <alignment horizontal="right" vertical="center"/>
      <protection/>
    </xf>
    <xf numFmtId="40" fontId="12" fillId="0" borderId="35" xfId="57" applyNumberFormat="1" applyFont="1" applyFill="1" applyBorder="1" applyAlignment="1" applyProtection="1">
      <alignment horizontal="right" vertical="center"/>
      <protection/>
    </xf>
    <xf numFmtId="40" fontId="13" fillId="35" borderId="51" xfId="0" applyNumberFormat="1" applyFont="1" applyFill="1" applyBorder="1" applyAlignment="1">
      <alignment vertical="center"/>
    </xf>
    <xf numFmtId="40" fontId="13" fillId="35" borderId="54" xfId="0" applyNumberFormat="1" applyFont="1" applyFill="1" applyBorder="1" applyAlignment="1">
      <alignment vertical="center"/>
    </xf>
    <xf numFmtId="40" fontId="12" fillId="0" borderId="0" xfId="0" applyNumberFormat="1" applyFont="1" applyFill="1" applyBorder="1" applyAlignment="1">
      <alignment horizontal="right" vertical="center"/>
    </xf>
    <xf numFmtId="40" fontId="12" fillId="0" borderId="63" xfId="0" applyNumberFormat="1" applyFont="1" applyFill="1" applyBorder="1" applyAlignment="1">
      <alignment horizontal="right" vertical="center"/>
    </xf>
    <xf numFmtId="40" fontId="12" fillId="0" borderId="39" xfId="0" applyNumberFormat="1" applyFont="1" applyFill="1" applyBorder="1" applyAlignment="1">
      <alignment horizontal="right" vertical="center"/>
    </xf>
    <xf numFmtId="40" fontId="12" fillId="0" borderId="52" xfId="0" applyNumberFormat="1" applyFont="1" applyFill="1" applyBorder="1" applyAlignment="1">
      <alignment horizontal="right" vertical="center"/>
    </xf>
    <xf numFmtId="40" fontId="12" fillId="0" borderId="42" xfId="0" applyNumberFormat="1" applyFont="1" applyFill="1" applyBorder="1" applyAlignment="1">
      <alignment horizontal="right" vertical="center"/>
    </xf>
    <xf numFmtId="40" fontId="13" fillId="35" borderId="39" xfId="0" applyNumberFormat="1" applyFont="1" applyFill="1" applyBorder="1" applyAlignment="1">
      <alignment vertical="center"/>
    </xf>
    <xf numFmtId="40" fontId="13" fillId="35" borderId="52" xfId="0" applyNumberFormat="1" applyFont="1" applyFill="1" applyBorder="1" applyAlignment="1">
      <alignment vertical="center"/>
    </xf>
    <xf numFmtId="40" fontId="13" fillId="35" borderId="14" xfId="0" applyNumberFormat="1" applyFont="1" applyFill="1" applyBorder="1" applyAlignment="1">
      <alignment vertical="center"/>
    </xf>
    <xf numFmtId="40" fontId="12" fillId="35" borderId="80" xfId="0" applyNumberFormat="1" applyFont="1" applyFill="1" applyBorder="1" applyAlignment="1">
      <alignment vertical="center"/>
    </xf>
    <xf numFmtId="40" fontId="13" fillId="35" borderId="51" xfId="57" applyNumberFormat="1" applyFont="1" applyFill="1" applyBorder="1" applyAlignment="1" applyProtection="1">
      <alignment horizontal="right" vertical="center"/>
      <protection/>
    </xf>
    <xf numFmtId="165" fontId="13" fillId="0" borderId="0" xfId="57" applyFont="1" applyFill="1" applyBorder="1" applyAlignment="1" applyProtection="1">
      <alignment horizontal="center" vertical="center"/>
      <protection/>
    </xf>
    <xf numFmtId="40" fontId="12" fillId="0" borderId="20" xfId="0" applyNumberFormat="1" applyFont="1" applyFill="1" applyBorder="1" applyAlignment="1">
      <alignment horizontal="right" vertical="center"/>
    </xf>
    <xf numFmtId="40" fontId="12" fillId="0" borderId="63" xfId="0" applyNumberFormat="1" applyFont="1" applyFill="1" applyBorder="1" applyAlignment="1">
      <alignment vertical="center"/>
    </xf>
    <xf numFmtId="165" fontId="3" fillId="0" borderId="18" xfId="59" applyFont="1" applyFill="1" applyBorder="1" applyAlignment="1" applyProtection="1">
      <alignment vertical="center"/>
      <protection/>
    </xf>
    <xf numFmtId="165" fontId="4" fillId="0" borderId="18" xfId="59" applyFont="1" applyFill="1" applyBorder="1" applyAlignment="1" applyProtection="1">
      <alignment vertical="center"/>
      <protection/>
    </xf>
    <xf numFmtId="164" fontId="3" fillId="35" borderId="40" xfId="57" applyNumberFormat="1" applyFont="1" applyFill="1" applyBorder="1" applyAlignment="1" applyProtection="1">
      <alignment vertical="center"/>
      <protection/>
    </xf>
    <xf numFmtId="165" fontId="10" fillId="0" borderId="42" xfId="57" applyFont="1" applyFill="1" applyBorder="1" applyAlignment="1">
      <alignment horizontal="center" vertical="center"/>
    </xf>
    <xf numFmtId="0" fontId="19" fillId="0" borderId="42" xfId="49" applyFont="1" applyFill="1" applyBorder="1" applyAlignment="1">
      <alignment horizontal="center" vertical="center"/>
      <protection/>
    </xf>
    <xf numFmtId="165" fontId="26" fillId="0" borderId="39" xfId="61" applyFont="1" applyFill="1" applyBorder="1" applyAlignment="1" applyProtection="1">
      <alignment horizontal="right" vertical="center" wrapText="1"/>
      <protection/>
    </xf>
    <xf numFmtId="165" fontId="19" fillId="0" borderId="52" xfId="61" applyFont="1" applyFill="1" applyBorder="1" applyAlignment="1" applyProtection="1">
      <alignment horizontal="right" vertical="center" wrapText="1"/>
      <protection/>
    </xf>
    <xf numFmtId="40" fontId="12" fillId="0" borderId="44" xfId="0" applyNumberFormat="1" applyFont="1" applyFill="1" applyBorder="1" applyAlignment="1">
      <alignment vertical="center"/>
    </xf>
    <xf numFmtId="40" fontId="12" fillId="35" borderId="76" xfId="0" applyNumberFormat="1" applyFont="1" applyFill="1" applyBorder="1" applyAlignment="1">
      <alignment vertical="center"/>
    </xf>
    <xf numFmtId="40" fontId="12" fillId="0" borderId="39" xfId="0" applyNumberFormat="1" applyFont="1" applyFill="1" applyBorder="1" applyAlignment="1">
      <alignment vertical="center"/>
    </xf>
    <xf numFmtId="40" fontId="12" fillId="35" borderId="39" xfId="0" applyNumberFormat="1" applyFont="1" applyFill="1" applyBorder="1" applyAlignment="1">
      <alignment vertical="center"/>
    </xf>
    <xf numFmtId="40" fontId="12" fillId="35" borderId="81" xfId="0" applyNumberFormat="1" applyFont="1" applyFill="1" applyBorder="1" applyAlignment="1">
      <alignment vertical="center"/>
    </xf>
    <xf numFmtId="40" fontId="13" fillId="0" borderId="82" xfId="0" applyNumberFormat="1" applyFont="1" applyFill="1" applyBorder="1" applyAlignment="1">
      <alignment vertical="center"/>
    </xf>
    <xf numFmtId="39" fontId="12" fillId="35" borderId="32" xfId="0" applyNumberFormat="1" applyFont="1" applyFill="1" applyBorder="1" applyAlignment="1">
      <alignment vertical="center"/>
    </xf>
    <xf numFmtId="40" fontId="89" fillId="0" borderId="12" xfId="0" applyNumberFormat="1" applyFont="1" applyFill="1" applyBorder="1" applyAlignment="1">
      <alignment vertical="center"/>
    </xf>
    <xf numFmtId="165" fontId="0" fillId="0" borderId="37" xfId="57" applyFont="1" applyFill="1" applyBorder="1" applyAlignment="1">
      <alignment vertical="center"/>
    </xf>
    <xf numFmtId="40" fontId="12" fillId="0" borderId="79" xfId="0" applyNumberFormat="1" applyFont="1" applyFill="1" applyBorder="1" applyAlignment="1">
      <alignment vertical="center"/>
    </xf>
    <xf numFmtId="40" fontId="12" fillId="35" borderId="69" xfId="0" applyNumberFormat="1" applyFont="1" applyFill="1" applyBorder="1" applyAlignment="1">
      <alignment vertical="center"/>
    </xf>
    <xf numFmtId="40" fontId="12" fillId="0" borderId="75" xfId="0" applyNumberFormat="1" applyFont="1" applyFill="1" applyBorder="1" applyAlignment="1">
      <alignment vertical="center"/>
    </xf>
    <xf numFmtId="165" fontId="11" fillId="0" borderId="0" xfId="57" applyFont="1" applyFill="1" applyAlignment="1">
      <alignment/>
    </xf>
    <xf numFmtId="165" fontId="11" fillId="0" borderId="21" xfId="57" applyFont="1" applyFill="1" applyBorder="1" applyAlignment="1">
      <alignment vertical="center"/>
    </xf>
    <xf numFmtId="165" fontId="18" fillId="0" borderId="39" xfId="48" applyNumberFormat="1" applyFont="1" applyFill="1" applyBorder="1" applyAlignment="1">
      <alignment horizontal="center"/>
      <protection/>
    </xf>
    <xf numFmtId="43" fontId="88" fillId="0" borderId="0" xfId="0" applyNumberFormat="1" applyFont="1" applyFill="1" applyAlignment="1">
      <alignment horizontal="left" vertical="center" indent="1"/>
    </xf>
    <xf numFmtId="165" fontId="0" fillId="0" borderId="0" xfId="57" applyFont="1" applyBorder="1" applyAlignment="1">
      <alignment/>
    </xf>
    <xf numFmtId="165" fontId="4" fillId="0" borderId="51" xfId="57" applyFont="1" applyFill="1" applyBorder="1" applyAlignment="1" applyProtection="1">
      <alignment horizontal="right" vertical="center"/>
      <protection/>
    </xf>
    <xf numFmtId="49" fontId="2" fillId="0" borderId="0" xfId="0" applyNumberFormat="1" applyFont="1" applyAlignment="1">
      <alignment/>
    </xf>
    <xf numFmtId="0" fontId="18" fillId="35" borderId="0" xfId="0" applyFont="1" applyFill="1" applyAlignment="1">
      <alignment/>
    </xf>
    <xf numFmtId="0" fontId="18" fillId="0" borderId="46" xfId="0" applyFont="1" applyFill="1" applyBorder="1" applyAlignment="1">
      <alignment horizontal="left" vertical="center"/>
    </xf>
    <xf numFmtId="165" fontId="18" fillId="0" borderId="0" xfId="0" applyNumberFormat="1" applyFont="1" applyFill="1" applyAlignment="1">
      <alignment/>
    </xf>
    <xf numFmtId="165" fontId="4" fillId="0" borderId="22" xfId="57" applyFont="1" applyFill="1" applyBorder="1" applyAlignment="1" applyProtection="1">
      <alignment horizontal="center" vertical="center"/>
      <protection/>
    </xf>
    <xf numFmtId="49" fontId="7" fillId="0" borderId="19" xfId="0" applyNumberFormat="1" applyFont="1" applyFill="1" applyBorder="1" applyAlignment="1">
      <alignment horizontal="left" vertical="center" wrapText="1"/>
    </xf>
    <xf numFmtId="49" fontId="7" fillId="0" borderId="42" xfId="0" applyNumberFormat="1" applyFont="1" applyFill="1" applyBorder="1" applyAlignment="1">
      <alignment horizontal="left" vertical="center" wrapText="1"/>
    </xf>
    <xf numFmtId="165" fontId="4" fillId="0" borderId="42" xfId="57" applyFont="1" applyFill="1" applyBorder="1" applyAlignment="1" applyProtection="1">
      <alignment horizontal="right" vertical="center"/>
      <protection/>
    </xf>
    <xf numFmtId="165" fontId="4" fillId="0" borderId="42" xfId="57" applyFont="1" applyFill="1" applyBorder="1" applyAlignment="1" applyProtection="1">
      <alignment horizontal="left" vertical="center"/>
      <protection/>
    </xf>
    <xf numFmtId="165" fontId="4" fillId="0" borderId="0" xfId="57" applyFont="1" applyFill="1" applyBorder="1" applyAlignment="1" applyProtection="1">
      <alignment horizontal="center" vertical="center"/>
      <protection/>
    </xf>
    <xf numFmtId="165" fontId="4" fillId="0" borderId="82" xfId="57" applyFont="1" applyFill="1" applyBorder="1" applyAlignment="1" applyProtection="1">
      <alignment horizontal="center" vertical="center"/>
      <protection/>
    </xf>
    <xf numFmtId="165" fontId="4" fillId="0" borderId="82" xfId="57" applyFont="1" applyFill="1" applyBorder="1" applyAlignment="1" applyProtection="1">
      <alignment horizontal="left" vertical="center"/>
      <protection/>
    </xf>
    <xf numFmtId="165" fontId="4" fillId="0" borderId="56" xfId="57" applyFont="1" applyFill="1" applyBorder="1" applyAlignment="1" applyProtection="1">
      <alignment horizontal="left" vertical="center"/>
      <protection/>
    </xf>
    <xf numFmtId="165" fontId="4" fillId="0" borderId="61" xfId="57" applyFont="1" applyFill="1" applyBorder="1" applyAlignment="1" applyProtection="1">
      <alignment horizontal="left" vertical="center"/>
      <protection/>
    </xf>
    <xf numFmtId="165" fontId="0" fillId="35" borderId="39" xfId="57" applyFont="1" applyFill="1" applyBorder="1" applyAlignment="1">
      <alignment vertical="center"/>
    </xf>
    <xf numFmtId="165" fontId="13" fillId="0" borderId="38" xfId="57" applyFont="1" applyFill="1" applyBorder="1" applyAlignment="1" applyProtection="1">
      <alignment horizontal="center" vertical="center"/>
      <protection/>
    </xf>
    <xf numFmtId="40" fontId="12" fillId="0" borderId="81" xfId="57" applyNumberFormat="1" applyFont="1" applyFill="1" applyBorder="1" applyAlignment="1" applyProtection="1">
      <alignment horizontal="right" vertical="center"/>
      <protection/>
    </xf>
    <xf numFmtId="40" fontId="12" fillId="0" borderId="39" xfId="57" applyNumberFormat="1" applyFont="1" applyFill="1" applyBorder="1" applyAlignment="1" applyProtection="1">
      <alignment vertical="center"/>
      <protection/>
    </xf>
    <xf numFmtId="40" fontId="12" fillId="0" borderId="63" xfId="57" applyNumberFormat="1" applyFont="1" applyFill="1" applyBorder="1" applyAlignment="1" applyProtection="1">
      <alignment vertical="center"/>
      <protection/>
    </xf>
    <xf numFmtId="49" fontId="18" fillId="0" borderId="22" xfId="0" applyNumberFormat="1" applyFont="1" applyBorder="1" applyAlignment="1">
      <alignment/>
    </xf>
    <xf numFmtId="0" fontId="18" fillId="0" borderId="47" xfId="0" applyFont="1" applyFill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23" fillId="0" borderId="46" xfId="0" applyFont="1" applyFill="1" applyBorder="1" applyAlignment="1">
      <alignment vertical="center"/>
    </xf>
    <xf numFmtId="165" fontId="18" fillId="0" borderId="0" xfId="57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>
      <alignment horizontal="center" vertical="center"/>
    </xf>
    <xf numFmtId="165" fontId="12" fillId="0" borderId="58" xfId="57" applyFont="1" applyFill="1" applyBorder="1" applyAlignment="1" applyProtection="1">
      <alignment horizontal="center" vertical="center"/>
      <protection/>
    </xf>
    <xf numFmtId="165" fontId="3" fillId="35" borderId="39" xfId="57" applyFont="1" applyFill="1" applyBorder="1" applyAlignment="1">
      <alignment vertical="center"/>
    </xf>
    <xf numFmtId="49" fontId="19" fillId="0" borderId="42" xfId="49" applyNumberFormat="1" applyFont="1" applyFill="1" applyBorder="1" applyAlignment="1">
      <alignment horizontal="center" vertical="center" wrapText="1"/>
      <protection/>
    </xf>
    <xf numFmtId="165" fontId="26" fillId="0" borderId="29" xfId="60" applyFont="1" applyFill="1" applyBorder="1" applyAlignment="1" applyProtection="1">
      <alignment horizontal="right" vertical="center" wrapText="1"/>
      <protection/>
    </xf>
    <xf numFmtId="165" fontId="26" fillId="0" borderId="39" xfId="60" applyFont="1" applyFill="1" applyBorder="1" applyAlignment="1" applyProtection="1">
      <alignment horizontal="right" vertical="center" wrapText="1"/>
      <protection/>
    </xf>
    <xf numFmtId="49" fontId="19" fillId="0" borderId="58" xfId="49" applyNumberFormat="1" applyFont="1" applyFill="1" applyBorder="1" applyAlignment="1">
      <alignment horizontal="center" vertical="center" wrapText="1"/>
      <protection/>
    </xf>
    <xf numFmtId="43" fontId="23" fillId="0" borderId="0" xfId="0" applyNumberFormat="1" applyFont="1" applyAlignment="1">
      <alignment/>
    </xf>
    <xf numFmtId="165" fontId="4" fillId="0" borderId="13" xfId="57" applyFont="1" applyFill="1" applyBorder="1" applyAlignment="1" applyProtection="1">
      <alignment horizontal="center" vertical="center"/>
      <protection/>
    </xf>
    <xf numFmtId="43" fontId="18" fillId="0" borderId="0" xfId="0" applyNumberFormat="1" applyFont="1" applyFill="1" applyAlignment="1">
      <alignment horizontal="center" vertical="center"/>
    </xf>
    <xf numFmtId="4" fontId="0" fillId="0" borderId="0" xfId="0" applyNumberFormat="1" applyAlignment="1">
      <alignment/>
    </xf>
    <xf numFmtId="165" fontId="4" fillId="0" borderId="53" xfId="57" applyFont="1" applyFill="1" applyBorder="1" applyAlignment="1" applyProtection="1">
      <alignment horizontal="center" vertical="center"/>
      <protection/>
    </xf>
    <xf numFmtId="165" fontId="4" fillId="0" borderId="55" xfId="57" applyFont="1" applyFill="1" applyBorder="1" applyAlignment="1" applyProtection="1">
      <alignment horizontal="center" vertical="center"/>
      <protection/>
    </xf>
    <xf numFmtId="165" fontId="0" fillId="0" borderId="65" xfId="57" applyFont="1" applyFill="1" applyBorder="1" applyAlignment="1" applyProtection="1">
      <alignment horizontal="center" vertical="center" wrapText="1"/>
      <protection/>
    </xf>
    <xf numFmtId="165" fontId="0" fillId="0" borderId="46" xfId="57" applyFont="1" applyFill="1" applyBorder="1" applyAlignment="1" applyProtection="1">
      <alignment horizontal="center" vertical="center" wrapText="1"/>
      <protection/>
    </xf>
    <xf numFmtId="165" fontId="3" fillId="0" borderId="63" xfId="57" applyFont="1" applyFill="1" applyBorder="1" applyAlignment="1" applyProtection="1">
      <alignment horizontal="center" vertical="center"/>
      <protection/>
    </xf>
    <xf numFmtId="165" fontId="3" fillId="0" borderId="39" xfId="57" applyFont="1" applyFill="1" applyBorder="1" applyAlignment="1" applyProtection="1">
      <alignment horizontal="center" vertical="center"/>
      <protection/>
    </xf>
    <xf numFmtId="165" fontId="3" fillId="0" borderId="29" xfId="57" applyFont="1" applyFill="1" applyBorder="1" applyAlignment="1" applyProtection="1">
      <alignment horizontal="center" vertical="center"/>
      <protection/>
    </xf>
    <xf numFmtId="165" fontId="3" fillId="0" borderId="53" xfId="57" applyFont="1" applyFill="1" applyBorder="1" applyAlignment="1" applyProtection="1">
      <alignment horizontal="center" vertical="center"/>
      <protection/>
    </xf>
    <xf numFmtId="165" fontId="3" fillId="0" borderId="31" xfId="57" applyFont="1" applyFill="1" applyBorder="1" applyAlignment="1" applyProtection="1">
      <alignment horizontal="center" vertical="center"/>
      <protection/>
    </xf>
    <xf numFmtId="165" fontId="3" fillId="0" borderId="80" xfId="57" applyFont="1" applyFill="1" applyBorder="1" applyAlignment="1" applyProtection="1">
      <alignment horizontal="center" vertical="center" wrapText="1"/>
      <protection/>
    </xf>
    <xf numFmtId="165" fontId="3" fillId="0" borderId="51" xfId="57" applyFont="1" applyFill="1" applyBorder="1" applyAlignment="1" applyProtection="1">
      <alignment horizontal="center" vertical="center" wrapText="1"/>
      <protection/>
    </xf>
    <xf numFmtId="165" fontId="3" fillId="0" borderId="46" xfId="57" applyFont="1" applyFill="1" applyBorder="1" applyAlignment="1" applyProtection="1">
      <alignment horizontal="center" vertical="center" wrapText="1"/>
      <protection/>
    </xf>
    <xf numFmtId="165" fontId="3" fillId="0" borderId="35" xfId="57" applyFont="1" applyFill="1" applyBorder="1" applyAlignment="1" applyProtection="1">
      <alignment horizontal="center" vertical="center"/>
      <protection/>
    </xf>
    <xf numFmtId="165" fontId="3" fillId="0" borderId="34" xfId="57" applyFont="1" applyFill="1" applyBorder="1" applyAlignment="1" applyProtection="1">
      <alignment horizontal="center" vertical="center"/>
      <protection/>
    </xf>
    <xf numFmtId="165" fontId="3" fillId="0" borderId="54" xfId="57" applyFont="1" applyFill="1" applyBorder="1" applyAlignment="1" applyProtection="1">
      <alignment horizontal="center" vertical="center"/>
      <protection/>
    </xf>
    <xf numFmtId="165" fontId="3" fillId="0" borderId="0" xfId="57" applyFont="1" applyFill="1" applyBorder="1" applyAlignment="1" applyProtection="1">
      <alignment horizontal="center" vertical="center"/>
      <protection/>
    </xf>
    <xf numFmtId="165" fontId="3" fillId="0" borderId="12" xfId="57" applyFont="1" applyFill="1" applyBorder="1" applyAlignment="1" applyProtection="1">
      <alignment horizontal="center" vertical="center" wrapText="1"/>
      <protection/>
    </xf>
    <xf numFmtId="165" fontId="3" fillId="0" borderId="13" xfId="57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left"/>
    </xf>
    <xf numFmtId="165" fontId="4" fillId="0" borderId="16" xfId="57" applyFont="1" applyFill="1" applyBorder="1" applyAlignment="1" applyProtection="1">
      <alignment horizontal="center" vertical="center"/>
      <protection/>
    </xf>
    <xf numFmtId="165" fontId="4" fillId="0" borderId="10" xfId="57" applyFont="1" applyFill="1" applyBorder="1" applyAlignment="1" applyProtection="1">
      <alignment horizontal="center" vertical="center"/>
      <protection/>
    </xf>
    <xf numFmtId="165" fontId="4" fillId="0" borderId="11" xfId="57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left" indent="7"/>
    </xf>
    <xf numFmtId="165" fontId="3" fillId="0" borderId="16" xfId="57" applyFont="1" applyFill="1" applyBorder="1" applyAlignment="1" applyProtection="1">
      <alignment horizontal="center" vertical="center"/>
      <protection/>
    </xf>
    <xf numFmtId="165" fontId="3" fillId="0" borderId="21" xfId="57" applyFont="1" applyFill="1" applyBorder="1" applyAlignment="1" applyProtection="1">
      <alignment horizontal="center" wrapText="1"/>
      <protection/>
    </xf>
    <xf numFmtId="165" fontId="3" fillId="0" borderId="21" xfId="57" applyFont="1" applyFill="1" applyBorder="1" applyAlignment="1" applyProtection="1">
      <alignment horizontal="center" vertical="center" wrapText="1"/>
      <protection/>
    </xf>
    <xf numFmtId="165" fontId="3" fillId="0" borderId="13" xfId="57" applyFont="1" applyFill="1" applyBorder="1" applyAlignment="1" applyProtection="1">
      <alignment horizontal="center" wrapText="1"/>
      <protection/>
    </xf>
    <xf numFmtId="165" fontId="4" fillId="0" borderId="16" xfId="57" applyFont="1" applyFill="1" applyBorder="1" applyAlignment="1" applyProtection="1">
      <alignment horizontal="center" vertical="center" wrapText="1"/>
      <protection/>
    </xf>
    <xf numFmtId="165" fontId="4" fillId="0" borderId="11" xfId="57" applyFont="1" applyFill="1" applyBorder="1" applyAlignment="1" applyProtection="1">
      <alignment horizontal="center" vertical="center" wrapText="1"/>
      <protection/>
    </xf>
    <xf numFmtId="165" fontId="4" fillId="0" borderId="15" xfId="57" applyFont="1" applyFill="1" applyBorder="1" applyAlignment="1" applyProtection="1">
      <alignment horizontal="center" vertical="center" wrapText="1"/>
      <protection/>
    </xf>
    <xf numFmtId="165" fontId="4" fillId="0" borderId="21" xfId="57" applyFont="1" applyFill="1" applyBorder="1" applyAlignment="1" applyProtection="1">
      <alignment horizontal="center" vertical="center"/>
      <protection/>
    </xf>
    <xf numFmtId="165" fontId="4" fillId="35" borderId="18" xfId="57" applyFont="1" applyFill="1" applyBorder="1" applyAlignment="1" applyProtection="1">
      <alignment horizontal="center" vertical="center"/>
      <protection/>
    </xf>
    <xf numFmtId="165" fontId="4" fillId="0" borderId="18" xfId="57" applyFont="1" applyFill="1" applyBorder="1" applyAlignment="1" applyProtection="1">
      <alignment horizontal="center" vertical="center"/>
      <protection/>
    </xf>
    <xf numFmtId="43" fontId="3" fillId="35" borderId="12" xfId="57" applyNumberFormat="1" applyFont="1" applyFill="1" applyBorder="1" applyAlignment="1" applyProtection="1">
      <alignment horizontal="center" vertical="center"/>
      <protection/>
    </xf>
    <xf numFmtId="164" fontId="3" fillId="35" borderId="17" xfId="57" applyNumberFormat="1" applyFont="1" applyFill="1" applyBorder="1" applyAlignment="1" applyProtection="1">
      <alignment horizontal="center" vertical="center"/>
      <protection/>
    </xf>
    <xf numFmtId="165" fontId="3" fillId="0" borderId="18" xfId="57" applyFont="1" applyFill="1" applyBorder="1" applyAlignment="1" applyProtection="1">
      <alignment horizontal="center" vertical="center"/>
      <protection/>
    </xf>
    <xf numFmtId="165" fontId="4" fillId="35" borderId="12" xfId="57" applyFont="1" applyFill="1" applyBorder="1" applyAlignment="1" applyProtection="1">
      <alignment horizontal="center" vertical="center"/>
      <protection/>
    </xf>
    <xf numFmtId="165" fontId="4" fillId="35" borderId="17" xfId="57" applyFont="1" applyFill="1" applyBorder="1" applyAlignment="1" applyProtection="1">
      <alignment horizontal="center" vertical="center"/>
      <protection/>
    </xf>
    <xf numFmtId="165" fontId="3" fillId="0" borderId="12" xfId="57" applyFont="1" applyFill="1" applyBorder="1" applyAlignment="1" applyProtection="1">
      <alignment horizontal="center" vertical="center"/>
      <protection/>
    </xf>
    <xf numFmtId="164" fontId="4" fillId="35" borderId="12" xfId="57" applyNumberFormat="1" applyFont="1" applyFill="1" applyBorder="1" applyAlignment="1" applyProtection="1">
      <alignment horizontal="center" vertical="center"/>
      <protection/>
    </xf>
    <xf numFmtId="164" fontId="4" fillId="35" borderId="17" xfId="57" applyNumberFormat="1" applyFont="1" applyFill="1" applyBorder="1" applyAlignment="1" applyProtection="1">
      <alignment horizontal="center" vertical="center"/>
      <protection/>
    </xf>
    <xf numFmtId="43" fontId="4" fillId="35" borderId="12" xfId="57" applyNumberFormat="1" applyFont="1" applyFill="1" applyBorder="1" applyAlignment="1" applyProtection="1">
      <alignment horizontal="center" vertical="center"/>
      <protection/>
    </xf>
    <xf numFmtId="165" fontId="4" fillId="0" borderId="14" xfId="57" applyFont="1" applyFill="1" applyBorder="1" applyAlignment="1" applyProtection="1">
      <alignment horizontal="right" vertical="center"/>
      <protection/>
    </xf>
    <xf numFmtId="165" fontId="4" fillId="0" borderId="23" xfId="57" applyFont="1" applyFill="1" applyBorder="1" applyAlignment="1" applyProtection="1">
      <alignment horizontal="right" vertical="center"/>
      <protection/>
    </xf>
    <xf numFmtId="165" fontId="4" fillId="0" borderId="24" xfId="57" applyFont="1" applyFill="1" applyBorder="1" applyAlignment="1" applyProtection="1">
      <alignment horizontal="right" vertical="center"/>
      <protection/>
    </xf>
    <xf numFmtId="165" fontId="4" fillId="35" borderId="73" xfId="57" applyFont="1" applyFill="1" applyBorder="1" applyAlignment="1" applyProtection="1">
      <alignment horizontal="center" vertical="center"/>
      <protection/>
    </xf>
    <xf numFmtId="165" fontId="4" fillId="0" borderId="15" xfId="57" applyFont="1" applyFill="1" applyBorder="1" applyAlignment="1" applyProtection="1">
      <alignment horizontal="center" vertical="center"/>
      <protection/>
    </xf>
    <xf numFmtId="165" fontId="4" fillId="0" borderId="12" xfId="57" applyFont="1" applyFill="1" applyBorder="1" applyAlignment="1" applyProtection="1">
      <alignment horizontal="center" vertical="center"/>
      <protection/>
    </xf>
    <xf numFmtId="165" fontId="4" fillId="0" borderId="29" xfId="57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Alignment="1">
      <alignment horizontal="left"/>
    </xf>
    <xf numFmtId="165" fontId="3" fillId="0" borderId="13" xfId="57" applyFont="1" applyFill="1" applyBorder="1" applyAlignment="1" applyProtection="1">
      <alignment horizontal="center" vertical="center"/>
      <protection/>
    </xf>
    <xf numFmtId="165" fontId="4" fillId="0" borderId="16" xfId="57" applyFont="1" applyFill="1" applyBorder="1" applyAlignment="1" applyProtection="1">
      <alignment horizontal="center"/>
      <protection/>
    </xf>
    <xf numFmtId="165" fontId="4" fillId="0" borderId="10" xfId="57" applyFont="1" applyFill="1" applyBorder="1" applyAlignment="1" applyProtection="1">
      <alignment horizontal="center"/>
      <protection/>
    </xf>
    <xf numFmtId="165" fontId="4" fillId="0" borderId="11" xfId="57" applyFont="1" applyFill="1" applyBorder="1" applyAlignment="1" applyProtection="1">
      <alignment horizontal="center"/>
      <protection/>
    </xf>
    <xf numFmtId="49" fontId="3" fillId="0" borderId="7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165" fontId="3" fillId="0" borderId="18" xfId="57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>
      <alignment horizontal="left" vertical="center" wrapText="1"/>
    </xf>
    <xf numFmtId="165" fontId="3" fillId="0" borderId="20" xfId="57" applyFont="1" applyFill="1" applyBorder="1" applyAlignment="1" applyProtection="1">
      <alignment horizontal="center" vertical="center" wrapText="1"/>
      <protection/>
    </xf>
    <xf numFmtId="165" fontId="4" fillId="0" borderId="21" xfId="57" applyFont="1" applyFill="1" applyBorder="1" applyAlignment="1" applyProtection="1">
      <alignment horizontal="right" vertical="center"/>
      <protection/>
    </xf>
    <xf numFmtId="0" fontId="12" fillId="0" borderId="42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40" fontId="13" fillId="0" borderId="23" xfId="0" applyNumberFormat="1" applyFont="1" applyFill="1" applyBorder="1" applyAlignment="1">
      <alignment horizontal="left" vertical="center"/>
    </xf>
    <xf numFmtId="40" fontId="13" fillId="0" borderId="0" xfId="0" applyNumberFormat="1" applyFont="1" applyFill="1" applyBorder="1" applyAlignment="1">
      <alignment horizontal="left" vertical="center"/>
    </xf>
    <xf numFmtId="4" fontId="12" fillId="0" borderId="20" xfId="0" applyNumberFormat="1" applyFont="1" applyFill="1" applyBorder="1" applyAlignment="1">
      <alignment horizontal="center" vertical="center" wrapText="1"/>
    </xf>
    <xf numFmtId="4" fontId="12" fillId="0" borderId="22" xfId="0" applyNumberFormat="1" applyFont="1" applyFill="1" applyBorder="1" applyAlignment="1">
      <alignment horizontal="center" vertical="center" wrapText="1"/>
    </xf>
    <xf numFmtId="4" fontId="12" fillId="0" borderId="19" xfId="0" applyNumberFormat="1" applyFont="1" applyFill="1" applyBorder="1" applyAlignment="1">
      <alignment horizontal="center" vertical="center" wrapText="1"/>
    </xf>
    <xf numFmtId="4" fontId="12" fillId="0" borderId="37" xfId="0" applyNumberFormat="1" applyFont="1" applyFill="1" applyBorder="1" applyAlignment="1">
      <alignment horizontal="center" vertical="center" wrapText="1"/>
    </xf>
    <xf numFmtId="4" fontId="12" fillId="0" borderId="41" xfId="0" applyNumberFormat="1" applyFont="1" applyFill="1" applyBorder="1" applyAlignment="1">
      <alignment horizontal="center" vertical="center" wrapText="1"/>
    </xf>
    <xf numFmtId="4" fontId="12" fillId="0" borderId="68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indent="6"/>
    </xf>
    <xf numFmtId="0" fontId="12" fillId="0" borderId="19" xfId="0" applyFont="1" applyFill="1" applyBorder="1" applyAlignment="1">
      <alignment horizontal="center" vertical="center"/>
    </xf>
    <xf numFmtId="40" fontId="12" fillId="0" borderId="22" xfId="0" applyNumberFormat="1" applyFont="1" applyFill="1" applyBorder="1" applyAlignment="1">
      <alignment horizontal="left" vertical="center"/>
    </xf>
    <xf numFmtId="40" fontId="12" fillId="0" borderId="0" xfId="0" applyNumberFormat="1" applyFont="1" applyFill="1" applyBorder="1" applyAlignment="1">
      <alignment horizontal="left" vertical="center"/>
    </xf>
    <xf numFmtId="40" fontId="89" fillId="0" borderId="0" xfId="0" applyNumberFormat="1" applyFont="1" applyFill="1" applyBorder="1" applyAlignment="1">
      <alignment horizontal="left" vertical="center"/>
    </xf>
    <xf numFmtId="40" fontId="13" fillId="0" borderId="24" xfId="0" applyNumberFormat="1" applyFont="1" applyFill="1" applyBorder="1" applyAlignment="1">
      <alignment horizontal="left" vertical="center"/>
    </xf>
    <xf numFmtId="40" fontId="13" fillId="0" borderId="17" xfId="0" applyNumberFormat="1" applyFont="1" applyFill="1" applyBorder="1" applyAlignment="1">
      <alignment horizontal="left" vertical="center"/>
    </xf>
    <xf numFmtId="40" fontId="12" fillId="0" borderId="19" xfId="0" applyNumberFormat="1" applyFont="1" applyFill="1" applyBorder="1" applyAlignment="1">
      <alignment horizontal="left" vertical="center"/>
    </xf>
    <xf numFmtId="40" fontId="12" fillId="0" borderId="17" xfId="0" applyNumberFormat="1" applyFont="1" applyFill="1" applyBorder="1" applyAlignment="1">
      <alignment horizontal="left" vertical="center"/>
    </xf>
    <xf numFmtId="0" fontId="38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4" fontId="12" fillId="0" borderId="14" xfId="0" applyNumberFormat="1" applyFont="1" applyFill="1" applyBorder="1" applyAlignment="1">
      <alignment horizontal="center" vertical="center" wrapText="1"/>
    </xf>
    <xf numFmtId="40" fontId="13" fillId="0" borderId="68" xfId="0" applyNumberFormat="1" applyFont="1" applyFill="1" applyBorder="1" applyAlignment="1">
      <alignment horizontal="left" vertical="center"/>
    </xf>
    <xf numFmtId="40" fontId="13" fillId="0" borderId="10" xfId="0" applyNumberFormat="1" applyFont="1" applyFill="1" applyBorder="1" applyAlignment="1">
      <alignment horizontal="left" vertical="center"/>
    </xf>
    <xf numFmtId="40" fontId="12" fillId="0" borderId="24" xfId="0" applyNumberFormat="1" applyFont="1" applyFill="1" applyBorder="1" applyAlignment="1">
      <alignment horizontal="left" vertical="center"/>
    </xf>
    <xf numFmtId="40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indent="7"/>
    </xf>
    <xf numFmtId="49" fontId="20" fillId="0" borderId="21" xfId="48" applyNumberFormat="1" applyFont="1" applyFill="1" applyBorder="1" applyAlignment="1">
      <alignment horizontal="center" vertical="center" wrapText="1"/>
      <protection/>
    </xf>
    <xf numFmtId="49" fontId="20" fillId="0" borderId="13" xfId="48" applyNumberFormat="1" applyFont="1" applyFill="1" applyBorder="1" applyAlignment="1">
      <alignment horizontal="center" vertical="center" wrapText="1"/>
      <protection/>
    </xf>
    <xf numFmtId="49" fontId="20" fillId="0" borderId="65" xfId="0" applyNumberFormat="1" applyFont="1" applyFill="1" applyBorder="1" applyAlignment="1">
      <alignment horizontal="center" vertical="center" wrapText="1"/>
    </xf>
    <xf numFmtId="49" fontId="20" fillId="0" borderId="66" xfId="0" applyNumberFormat="1" applyFont="1" applyFill="1" applyBorder="1" applyAlignment="1">
      <alignment horizontal="center" vertical="center" wrapText="1"/>
    </xf>
    <xf numFmtId="37" fontId="18" fillId="0" borderId="16" xfId="0" applyNumberFormat="1" applyFont="1" applyFill="1" applyBorder="1" applyAlignment="1">
      <alignment horizontal="center" vertical="center"/>
    </xf>
    <xf numFmtId="37" fontId="18" fillId="0" borderId="11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left" indent="7"/>
    </xf>
    <xf numFmtId="0" fontId="12" fillId="0" borderId="0" xfId="0" applyFont="1" applyFill="1" applyBorder="1" applyAlignment="1">
      <alignment horizontal="left" indent="7"/>
    </xf>
    <xf numFmtId="0" fontId="13" fillId="0" borderId="0" xfId="0" applyFont="1" applyFill="1" applyBorder="1" applyAlignment="1">
      <alignment horizontal="left" indent="7"/>
    </xf>
    <xf numFmtId="0" fontId="20" fillId="0" borderId="65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49" fontId="20" fillId="0" borderId="48" xfId="48" applyNumberFormat="1" applyFont="1" applyFill="1" applyBorder="1" applyAlignment="1">
      <alignment horizontal="center" vertical="center" wrapText="1"/>
      <protection/>
    </xf>
    <xf numFmtId="49" fontId="20" fillId="0" borderId="49" xfId="48" applyNumberFormat="1" applyFont="1" applyFill="1" applyBorder="1" applyAlignment="1">
      <alignment horizontal="center" vertical="center" wrapText="1"/>
      <protection/>
    </xf>
    <xf numFmtId="49" fontId="20" fillId="0" borderId="25" xfId="48" applyNumberFormat="1" applyFont="1" applyFill="1" applyBorder="1" applyAlignment="1">
      <alignment horizontal="center" vertical="center" wrapText="1"/>
      <protection/>
    </xf>
    <xf numFmtId="49" fontId="21" fillId="35" borderId="21" xfId="0" applyNumberFormat="1" applyFont="1" applyFill="1" applyBorder="1" applyAlignment="1">
      <alignment horizontal="center" vertical="center" wrapText="1"/>
    </xf>
    <xf numFmtId="49" fontId="21" fillId="35" borderId="13" xfId="0" applyNumberFormat="1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165" fontId="23" fillId="0" borderId="53" xfId="59" applyFont="1" applyFill="1" applyBorder="1" applyAlignment="1" applyProtection="1">
      <alignment horizontal="center" vertical="center"/>
      <protection/>
    </xf>
    <xf numFmtId="165" fontId="23" fillId="0" borderId="55" xfId="59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67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165" fontId="18" fillId="0" borderId="16" xfId="59" applyFont="1" applyFill="1" applyBorder="1" applyAlignment="1" applyProtection="1">
      <alignment horizontal="center" vertical="center" wrapText="1"/>
      <protection/>
    </xf>
    <xf numFmtId="165" fontId="18" fillId="0" borderId="10" xfId="59" applyFont="1" applyFill="1" applyBorder="1" applyAlignment="1" applyProtection="1">
      <alignment horizontal="center" vertical="center" wrapText="1"/>
      <protection/>
    </xf>
    <xf numFmtId="165" fontId="18" fillId="0" borderId="67" xfId="59" applyFont="1" applyFill="1" applyBorder="1" applyAlignment="1" applyProtection="1">
      <alignment horizontal="center" vertical="center" wrapText="1"/>
      <protection/>
    </xf>
    <xf numFmtId="0" fontId="87" fillId="0" borderId="50" xfId="0" applyFont="1" applyFill="1" applyBorder="1" applyAlignment="1">
      <alignment horizontal="center"/>
    </xf>
    <xf numFmtId="0" fontId="87" fillId="0" borderId="10" xfId="0" applyFont="1" applyFill="1" applyBorder="1" applyAlignment="1">
      <alignment horizontal="center"/>
    </xf>
    <xf numFmtId="0" fontId="87" fillId="0" borderId="67" xfId="0" applyFont="1" applyFill="1" applyBorder="1" applyAlignment="1">
      <alignment horizontal="center"/>
    </xf>
    <xf numFmtId="165" fontId="23" fillId="0" borderId="15" xfId="59" applyFont="1" applyFill="1" applyBorder="1" applyAlignment="1" applyProtection="1">
      <alignment horizontal="center" vertical="center"/>
      <protection/>
    </xf>
    <xf numFmtId="165" fontId="18" fillId="0" borderId="15" xfId="59" applyFont="1" applyFill="1" applyBorder="1" applyAlignment="1" applyProtection="1">
      <alignment vertical="center" wrapText="1"/>
      <protection/>
    </xf>
    <xf numFmtId="165" fontId="23" fillId="0" borderId="16" xfId="59" applyFont="1" applyFill="1" applyBorder="1" applyAlignment="1" applyProtection="1">
      <alignment horizontal="center" vertical="center" wrapText="1"/>
      <protection/>
    </xf>
    <xf numFmtId="165" fontId="23" fillId="0" borderId="10" xfId="59" applyFont="1" applyFill="1" applyBorder="1" applyAlignment="1" applyProtection="1">
      <alignment horizontal="center" vertical="center" wrapText="1"/>
      <protection/>
    </xf>
    <xf numFmtId="165" fontId="23" fillId="0" borderId="67" xfId="59" applyFont="1" applyFill="1" applyBorder="1" applyAlignment="1" applyProtection="1">
      <alignment horizontal="center" vertical="center" wrapText="1"/>
      <protection/>
    </xf>
    <xf numFmtId="0" fontId="13" fillId="0" borderId="35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165" fontId="23" fillId="0" borderId="53" xfId="59" applyFont="1" applyFill="1" applyBorder="1" applyAlignment="1" applyProtection="1">
      <alignment horizontal="center" vertical="center" wrapText="1"/>
      <protection/>
    </xf>
    <xf numFmtId="165" fontId="23" fillId="0" borderId="55" xfId="59" applyFont="1" applyFill="1" applyBorder="1" applyAlignment="1" applyProtection="1">
      <alignment horizontal="center" vertical="center" wrapText="1"/>
      <protection/>
    </xf>
    <xf numFmtId="0" fontId="18" fillId="0" borderId="70" xfId="0" applyFont="1" applyFill="1" applyBorder="1" applyAlignment="1">
      <alignment horizontal="center" vertical="center" wrapText="1"/>
    </xf>
    <xf numFmtId="0" fontId="18" fillId="0" borderId="83" xfId="0" applyFont="1" applyFill="1" applyBorder="1" applyAlignment="1">
      <alignment horizontal="center" vertical="center" wrapText="1"/>
    </xf>
    <xf numFmtId="165" fontId="18" fillId="0" borderId="53" xfId="59" applyFont="1" applyFill="1" applyBorder="1" applyAlignment="1" applyProtection="1">
      <alignment horizontal="center" vertical="center" wrapText="1"/>
      <protection/>
    </xf>
    <xf numFmtId="165" fontId="18" fillId="0" borderId="55" xfId="59" applyFont="1" applyFill="1" applyBorder="1" applyAlignment="1" applyProtection="1">
      <alignment horizontal="center" vertical="center" wrapText="1"/>
      <protection/>
    </xf>
    <xf numFmtId="37" fontId="18" fillId="0" borderId="16" xfId="0" applyNumberFormat="1" applyFont="1" applyFill="1" applyBorder="1" applyAlignment="1">
      <alignment horizontal="center" vertical="center" wrapText="1"/>
    </xf>
    <xf numFmtId="37" fontId="18" fillId="0" borderId="10" xfId="0" applyNumberFormat="1" applyFont="1" applyFill="1" applyBorder="1" applyAlignment="1">
      <alignment horizontal="center" vertical="center" wrapText="1"/>
    </xf>
    <xf numFmtId="37" fontId="18" fillId="0" borderId="67" xfId="0" applyNumberFormat="1" applyFont="1" applyFill="1" applyBorder="1" applyAlignment="1">
      <alignment horizontal="center" vertical="center" wrapText="1"/>
    </xf>
    <xf numFmtId="165" fontId="18" fillId="0" borderId="78" xfId="59" applyFont="1" applyFill="1" applyBorder="1" applyAlignment="1" applyProtection="1">
      <alignment horizontal="center" vertical="center" wrapText="1"/>
      <protection/>
    </xf>
    <xf numFmtId="165" fontId="18" fillId="0" borderId="62" xfId="59" applyFont="1" applyFill="1" applyBorder="1" applyAlignment="1" applyProtection="1">
      <alignment horizontal="center" vertical="center" wrapText="1"/>
      <protection/>
    </xf>
    <xf numFmtId="165" fontId="18" fillId="0" borderId="84" xfId="59" applyFont="1" applyFill="1" applyBorder="1" applyAlignment="1" applyProtection="1">
      <alignment horizontal="center" vertical="center" wrapText="1"/>
      <protection/>
    </xf>
    <xf numFmtId="165" fontId="23" fillId="0" borderId="16" xfId="59" applyFont="1" applyFill="1" applyBorder="1" applyAlignment="1" applyProtection="1">
      <alignment horizontal="center" vertical="center"/>
      <protection/>
    </xf>
    <xf numFmtId="165" fontId="23" fillId="0" borderId="10" xfId="59" applyFont="1" applyFill="1" applyBorder="1" applyAlignment="1" applyProtection="1">
      <alignment horizontal="center" vertical="center"/>
      <protection/>
    </xf>
    <xf numFmtId="165" fontId="23" fillId="0" borderId="67" xfId="59" applyFont="1" applyFill="1" applyBorder="1" applyAlignment="1" applyProtection="1">
      <alignment horizontal="center" vertical="center"/>
      <protection/>
    </xf>
    <xf numFmtId="165" fontId="18" fillId="0" borderId="0" xfId="59" applyFont="1" applyFill="1" applyBorder="1" applyAlignment="1" applyProtection="1">
      <alignment horizontal="center"/>
      <protection/>
    </xf>
    <xf numFmtId="39" fontId="18" fillId="0" borderId="16" xfId="0" applyNumberFormat="1" applyFont="1" applyFill="1" applyBorder="1" applyAlignment="1">
      <alignment horizontal="center" vertical="center" wrapText="1"/>
    </xf>
    <xf numFmtId="39" fontId="18" fillId="0" borderId="10" xfId="0" applyNumberFormat="1" applyFont="1" applyFill="1" applyBorder="1" applyAlignment="1">
      <alignment horizontal="center" vertical="center" wrapText="1"/>
    </xf>
    <xf numFmtId="39" fontId="18" fillId="0" borderId="67" xfId="0" applyNumberFormat="1" applyFont="1" applyFill="1" applyBorder="1" applyAlignment="1">
      <alignment horizontal="center" vertical="center" wrapText="1"/>
    </xf>
    <xf numFmtId="39" fontId="18" fillId="0" borderId="11" xfId="0" applyNumberFormat="1" applyFont="1" applyFill="1" applyBorder="1" applyAlignment="1">
      <alignment horizontal="center" vertical="center" wrapText="1"/>
    </xf>
    <xf numFmtId="165" fontId="18" fillId="0" borderId="42" xfId="59" applyFont="1" applyFill="1" applyBorder="1" applyAlignment="1" applyProtection="1">
      <alignment horizontal="center" vertical="center" wrapText="1"/>
      <protection/>
    </xf>
    <xf numFmtId="37" fontId="18" fillId="0" borderId="11" xfId="0" applyNumberFormat="1" applyFont="1" applyBorder="1" applyAlignment="1">
      <alignment horizontal="center" vertical="center"/>
    </xf>
    <xf numFmtId="37" fontId="18" fillId="0" borderId="15" xfId="0" applyNumberFormat="1" applyFont="1" applyFill="1" applyBorder="1" applyAlignment="1">
      <alignment horizontal="center" vertical="center" wrapText="1"/>
    </xf>
    <xf numFmtId="165" fontId="18" fillId="0" borderId="15" xfId="59" applyFont="1" applyFill="1" applyBorder="1" applyAlignment="1" applyProtection="1">
      <alignment horizontal="center" vertical="center" wrapText="1"/>
      <protection/>
    </xf>
    <xf numFmtId="165" fontId="18" fillId="0" borderId="35" xfId="59" applyFont="1" applyFill="1" applyBorder="1" applyAlignment="1" applyProtection="1">
      <alignment horizontal="center" vertical="center" wrapText="1"/>
      <protection/>
    </xf>
    <xf numFmtId="165" fontId="18" fillId="0" borderId="28" xfId="59" applyFont="1" applyFill="1" applyBorder="1" applyAlignment="1" applyProtection="1">
      <alignment horizontal="center" vertical="center" wrapText="1"/>
      <protection/>
    </xf>
    <xf numFmtId="165" fontId="23" fillId="0" borderId="15" xfId="59" applyFont="1" applyFill="1" applyBorder="1" applyAlignment="1" applyProtection="1">
      <alignment vertical="center"/>
      <protection/>
    </xf>
    <xf numFmtId="165" fontId="18" fillId="0" borderId="85" xfId="59" applyFont="1" applyFill="1" applyBorder="1" applyAlignment="1" applyProtection="1">
      <alignment vertical="center" wrapText="1"/>
      <protection/>
    </xf>
    <xf numFmtId="165" fontId="18" fillId="0" borderId="13" xfId="59" applyFont="1" applyFill="1" applyBorder="1" applyAlignment="1" applyProtection="1">
      <alignment vertical="center" wrapText="1"/>
      <protection/>
    </xf>
    <xf numFmtId="165" fontId="23" fillId="0" borderId="16" xfId="59" applyFont="1" applyFill="1" applyBorder="1" applyAlignment="1" applyProtection="1">
      <alignment horizontal="right" vertical="center"/>
      <protection/>
    </xf>
    <xf numFmtId="165" fontId="23" fillId="0" borderId="10" xfId="59" applyFont="1" applyFill="1" applyBorder="1" applyAlignment="1" applyProtection="1">
      <alignment horizontal="right" vertical="center"/>
      <protection/>
    </xf>
    <xf numFmtId="165" fontId="23" fillId="0" borderId="11" xfId="59" applyFont="1" applyFill="1" applyBorder="1" applyAlignment="1" applyProtection="1">
      <alignment horizontal="right" vertical="center"/>
      <protection/>
    </xf>
    <xf numFmtId="165" fontId="18" fillId="0" borderId="21" xfId="59" applyFont="1" applyFill="1" applyBorder="1" applyAlignment="1" applyProtection="1">
      <alignment horizontal="center" vertical="center" wrapText="1"/>
      <protection/>
    </xf>
    <xf numFmtId="165" fontId="18" fillId="0" borderId="12" xfId="59" applyFont="1" applyFill="1" applyBorder="1" applyAlignment="1" applyProtection="1">
      <alignment horizontal="right" vertical="center" wrapText="1"/>
      <protection/>
    </xf>
    <xf numFmtId="165" fontId="18" fillId="0" borderId="26" xfId="59" applyFont="1" applyFill="1" applyBorder="1" applyAlignment="1" applyProtection="1">
      <alignment horizontal="right"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37" fontId="24" fillId="0" borderId="11" xfId="0" applyNumberFormat="1" applyFont="1" applyFill="1" applyBorder="1" applyAlignment="1">
      <alignment horizontal="center" vertical="center" wrapText="1"/>
    </xf>
    <xf numFmtId="37" fontId="23" fillId="0" borderId="86" xfId="0" applyNumberFormat="1" applyFont="1" applyFill="1" applyBorder="1" applyAlignment="1">
      <alignment horizontal="center" vertical="center"/>
    </xf>
    <xf numFmtId="37" fontId="23" fillId="0" borderId="62" xfId="0" applyNumberFormat="1" applyFont="1" applyFill="1" applyBorder="1" applyAlignment="1">
      <alignment horizontal="center" vertical="center"/>
    </xf>
    <xf numFmtId="37" fontId="23" fillId="0" borderId="84" xfId="0" applyNumberFormat="1" applyFont="1" applyFill="1" applyBorder="1" applyAlignment="1">
      <alignment horizontal="center" vertical="center"/>
    </xf>
    <xf numFmtId="0" fontId="24" fillId="38" borderId="10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/>
    </xf>
    <xf numFmtId="165" fontId="18" fillId="0" borderId="16" xfId="59" applyFont="1" applyFill="1" applyBorder="1" applyAlignment="1" applyProtection="1">
      <alignment horizontal="right"/>
      <protection/>
    </xf>
    <xf numFmtId="165" fontId="18" fillId="0" borderId="64" xfId="59" applyFont="1" applyFill="1" applyBorder="1" applyAlignment="1" applyProtection="1">
      <alignment horizontal="right"/>
      <protection/>
    </xf>
    <xf numFmtId="37" fontId="23" fillId="0" borderId="70" xfId="0" applyNumberFormat="1" applyFont="1" applyFill="1" applyBorder="1" applyAlignment="1">
      <alignment horizontal="center" vertical="center"/>
    </xf>
    <xf numFmtId="37" fontId="23" fillId="0" borderId="82" xfId="0" applyNumberFormat="1" applyFont="1" applyFill="1" applyBorder="1" applyAlignment="1">
      <alignment horizontal="center" vertical="center"/>
    </xf>
    <xf numFmtId="37" fontId="23" fillId="0" borderId="83" xfId="0" applyNumberFormat="1" applyFont="1" applyFill="1" applyBorder="1" applyAlignment="1">
      <alignment horizontal="center" vertical="center"/>
    </xf>
    <xf numFmtId="37" fontId="23" fillId="0" borderId="7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indent="7"/>
    </xf>
    <xf numFmtId="49" fontId="10" fillId="0" borderId="0" xfId="0" applyNumberFormat="1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 vertical="center" wrapText="1"/>
    </xf>
    <xf numFmtId="37" fontId="18" fillId="0" borderId="0" xfId="0" applyNumberFormat="1" applyFont="1" applyFill="1" applyBorder="1" applyAlignment="1">
      <alignment horizontal="center"/>
    </xf>
    <xf numFmtId="40" fontId="18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indent="7"/>
    </xf>
    <xf numFmtId="49" fontId="12" fillId="0" borderId="0" xfId="0" applyNumberFormat="1" applyFont="1" applyBorder="1" applyAlignment="1">
      <alignment horizontal="left" indent="7"/>
    </xf>
    <xf numFmtId="165" fontId="18" fillId="0" borderId="16" xfId="59" applyFont="1" applyFill="1" applyBorder="1" applyAlignment="1" applyProtection="1">
      <alignment horizontal="right" vertical="center" wrapText="1"/>
      <protection/>
    </xf>
    <xf numFmtId="165" fontId="23" fillId="0" borderId="16" xfId="59" applyFont="1" applyFill="1" applyBorder="1" applyAlignment="1" applyProtection="1">
      <alignment horizontal="right" vertical="center" wrapText="1"/>
      <protection/>
    </xf>
    <xf numFmtId="0" fontId="19" fillId="0" borderId="15" xfId="0" applyFont="1" applyFill="1" applyBorder="1" applyAlignment="1">
      <alignment horizontal="center" vertical="center" wrapText="1"/>
    </xf>
    <xf numFmtId="165" fontId="23" fillId="0" borderId="15" xfId="59" applyFont="1" applyFill="1" applyBorder="1" applyAlignment="1" applyProtection="1">
      <alignment horizontal="center" vertical="center" wrapText="1"/>
      <protection/>
    </xf>
    <xf numFmtId="0" fontId="19" fillId="0" borderId="20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165" fontId="18" fillId="35" borderId="15" xfId="59" applyFont="1" applyFill="1" applyBorder="1" applyAlignment="1" applyProtection="1">
      <alignment horizontal="center" vertical="center" wrapText="1"/>
      <protection/>
    </xf>
    <xf numFmtId="165" fontId="18" fillId="35" borderId="16" xfId="59" applyFont="1" applyFill="1" applyBorder="1" applyAlignment="1" applyProtection="1">
      <alignment horizontal="center" vertical="center" wrapText="1"/>
      <protection/>
    </xf>
    <xf numFmtId="165" fontId="18" fillId="35" borderId="10" xfId="59" applyFont="1" applyFill="1" applyBorder="1" applyAlignment="1" applyProtection="1">
      <alignment horizontal="center" vertical="center" wrapText="1"/>
      <protection/>
    </xf>
    <xf numFmtId="165" fontId="18" fillId="35" borderId="67" xfId="59" applyFont="1" applyFill="1" applyBorder="1" applyAlignment="1" applyProtection="1">
      <alignment horizontal="center" vertical="center" wrapText="1"/>
      <protection/>
    </xf>
    <xf numFmtId="165" fontId="18" fillId="0" borderId="15" xfId="59" applyFont="1" applyFill="1" applyBorder="1" applyAlignment="1" applyProtection="1">
      <alignment horizontal="right" vertical="center" wrapText="1"/>
      <protection/>
    </xf>
    <xf numFmtId="165" fontId="18" fillId="0" borderId="64" xfId="59" applyFont="1" applyFill="1" applyBorder="1" applyAlignment="1" applyProtection="1">
      <alignment horizontal="right" vertical="center" wrapText="1"/>
      <protection/>
    </xf>
    <xf numFmtId="0" fontId="18" fillId="0" borderId="64" xfId="0" applyFont="1" applyFill="1" applyBorder="1" applyAlignment="1">
      <alignment horizontal="center" vertical="center" wrapText="1"/>
    </xf>
    <xf numFmtId="2" fontId="13" fillId="0" borderId="23" xfId="0" applyNumberFormat="1" applyFont="1" applyFill="1" applyBorder="1" applyAlignment="1">
      <alignment horizontal="left"/>
    </xf>
    <xf numFmtId="0" fontId="13" fillId="0" borderId="23" xfId="0" applyFont="1" applyFill="1" applyBorder="1" applyAlignment="1">
      <alignment horizontal="left"/>
    </xf>
    <xf numFmtId="166" fontId="18" fillId="0" borderId="23" xfId="0" applyNumberFormat="1" applyFont="1" applyFill="1" applyBorder="1" applyAlignment="1">
      <alignment horizontal="right"/>
    </xf>
    <xf numFmtId="0" fontId="18" fillId="0" borderId="47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wrapText="1"/>
    </xf>
    <xf numFmtId="49" fontId="18" fillId="0" borderId="19" xfId="0" applyNumberFormat="1" applyFont="1" applyFill="1" applyBorder="1" applyAlignment="1">
      <alignment horizontal="center" wrapText="1"/>
    </xf>
    <xf numFmtId="49" fontId="18" fillId="0" borderId="20" xfId="0" applyNumberFormat="1" applyFont="1" applyFill="1" applyBorder="1" applyAlignment="1">
      <alignment horizontal="center" wrapText="1"/>
    </xf>
    <xf numFmtId="49" fontId="18" fillId="0" borderId="48" xfId="0" applyNumberFormat="1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49" fontId="18" fillId="0" borderId="49" xfId="0" applyNumberFormat="1" applyFont="1" applyFill="1" applyBorder="1" applyAlignment="1">
      <alignment horizontal="center" vertical="center" wrapText="1"/>
    </xf>
    <xf numFmtId="165" fontId="18" fillId="0" borderId="12" xfId="57" applyFont="1" applyFill="1" applyBorder="1" applyAlignment="1" applyProtection="1">
      <alignment horizontal="right" vertical="center" wrapText="1"/>
      <protection/>
    </xf>
    <xf numFmtId="165" fontId="18" fillId="0" borderId="26" xfId="57" applyFont="1" applyFill="1" applyBorder="1" applyAlignment="1" applyProtection="1">
      <alignment horizontal="right" vertical="center" wrapText="1"/>
      <protection/>
    </xf>
    <xf numFmtId="165" fontId="18" fillId="0" borderId="80" xfId="57" applyFont="1" applyFill="1" applyBorder="1" applyAlignment="1" applyProtection="1">
      <alignment horizontal="right" vertical="center" wrapText="1"/>
      <protection/>
    </xf>
    <xf numFmtId="165" fontId="18" fillId="0" borderId="44" xfId="57" applyFont="1" applyFill="1" applyBorder="1" applyAlignment="1" applyProtection="1">
      <alignment horizontal="right" vertical="center" wrapText="1"/>
      <protection/>
    </xf>
    <xf numFmtId="2" fontId="18" fillId="0" borderId="12" xfId="57" applyNumberFormat="1" applyFont="1" applyFill="1" applyBorder="1" applyAlignment="1" applyProtection="1">
      <alignment horizontal="right" vertical="center" wrapText="1"/>
      <protection/>
    </xf>
    <xf numFmtId="2" fontId="18" fillId="0" borderId="26" xfId="57" applyNumberFormat="1" applyFont="1" applyFill="1" applyBorder="1" applyAlignment="1" applyProtection="1">
      <alignment horizontal="right" vertical="center" wrapText="1"/>
      <protection/>
    </xf>
    <xf numFmtId="165" fontId="18" fillId="0" borderId="12" xfId="57" applyFont="1" applyFill="1" applyBorder="1" applyAlignment="1" applyProtection="1">
      <alignment horizontal="center" vertical="center" wrapText="1"/>
      <protection/>
    </xf>
    <xf numFmtId="165" fontId="18" fillId="0" borderId="29" xfId="57" applyFont="1" applyFill="1" applyBorder="1" applyAlignment="1" applyProtection="1">
      <alignment horizontal="center" vertical="center" wrapText="1"/>
      <protection/>
    </xf>
    <xf numFmtId="165" fontId="18" fillId="0" borderId="16" xfId="57" applyFont="1" applyFill="1" applyBorder="1" applyAlignment="1" applyProtection="1">
      <alignment horizontal="center" vertical="center" wrapText="1"/>
      <protection/>
    </xf>
    <xf numFmtId="165" fontId="18" fillId="0" borderId="64" xfId="57" applyFont="1" applyFill="1" applyBorder="1" applyAlignment="1" applyProtection="1">
      <alignment horizontal="center" vertical="center" wrapText="1"/>
      <protection/>
    </xf>
    <xf numFmtId="0" fontId="18" fillId="0" borderId="16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0" fontId="18" fillId="0" borderId="23" xfId="0" applyNumberFormat="1" applyFont="1" applyFill="1" applyBorder="1" applyAlignment="1">
      <alignment horizontal="center" vertical="center"/>
    </xf>
    <xf numFmtId="0" fontId="18" fillId="0" borderId="45" xfId="0" applyNumberFormat="1" applyFont="1" applyFill="1" applyBorder="1" applyAlignment="1">
      <alignment horizontal="center" vertical="center"/>
    </xf>
    <xf numFmtId="165" fontId="18" fillId="0" borderId="15" xfId="57" applyFont="1" applyFill="1" applyBorder="1" applyAlignment="1" applyProtection="1">
      <alignment horizontal="right" vertical="center"/>
      <protection/>
    </xf>
    <xf numFmtId="165" fontId="18" fillId="0" borderId="16" xfId="57" applyFont="1" applyFill="1" applyBorder="1" applyAlignment="1" applyProtection="1">
      <alignment horizontal="right" vertical="center"/>
      <protection/>
    </xf>
    <xf numFmtId="165" fontId="18" fillId="0" borderId="64" xfId="57" applyFont="1" applyFill="1" applyBorder="1" applyAlignment="1" applyProtection="1">
      <alignment horizontal="right" vertical="center"/>
      <protection/>
    </xf>
    <xf numFmtId="0" fontId="12" fillId="0" borderId="35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3" fontId="23" fillId="0" borderId="53" xfId="0" applyNumberFormat="1" applyFont="1" applyFill="1" applyBorder="1" applyAlignment="1">
      <alignment horizontal="center" vertical="center"/>
    </xf>
    <xf numFmtId="3" fontId="23" fillId="0" borderId="31" xfId="0" applyNumberFormat="1" applyFont="1" applyFill="1" applyBorder="1" applyAlignment="1">
      <alignment horizontal="center" vertical="center"/>
    </xf>
    <xf numFmtId="3" fontId="23" fillId="0" borderId="55" xfId="0" applyNumberFormat="1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165" fontId="23" fillId="0" borderId="50" xfId="57" applyFont="1" applyFill="1" applyBorder="1" applyAlignment="1" applyProtection="1">
      <alignment horizontal="center" vertical="center" wrapText="1"/>
      <protection/>
    </xf>
    <xf numFmtId="165" fontId="23" fillId="0" borderId="67" xfId="57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vertical="center" wrapText="1"/>
    </xf>
    <xf numFmtId="165" fontId="18" fillId="0" borderId="12" xfId="57" applyFont="1" applyFill="1" applyBorder="1" applyAlignment="1" applyProtection="1">
      <alignment horizontal="center" vertical="center"/>
      <protection/>
    </xf>
    <xf numFmtId="165" fontId="18" fillId="0" borderId="20" xfId="57" applyFont="1" applyFill="1" applyBorder="1" applyAlignment="1" applyProtection="1">
      <alignment horizontal="center" vertical="center"/>
      <protection/>
    </xf>
    <xf numFmtId="165" fontId="18" fillId="0" borderId="48" xfId="57" applyFont="1" applyFill="1" applyBorder="1" applyAlignment="1" applyProtection="1">
      <alignment horizontal="center" vertical="center"/>
      <protection/>
    </xf>
    <xf numFmtId="165" fontId="23" fillId="0" borderId="12" xfId="57" applyFont="1" applyFill="1" applyBorder="1" applyAlignment="1" applyProtection="1">
      <alignment horizontal="center" vertical="center"/>
      <protection/>
    </xf>
    <xf numFmtId="165" fontId="23" fillId="0" borderId="26" xfId="57" applyFont="1" applyFill="1" applyBorder="1" applyAlignment="1" applyProtection="1">
      <alignment horizontal="center" vertical="center"/>
      <protection/>
    </xf>
    <xf numFmtId="165" fontId="18" fillId="0" borderId="26" xfId="57" applyFont="1" applyFill="1" applyBorder="1" applyAlignment="1" applyProtection="1">
      <alignment horizontal="center" vertical="center"/>
      <protection/>
    </xf>
    <xf numFmtId="165" fontId="18" fillId="0" borderId="29" xfId="57" applyFont="1" applyFill="1" applyBorder="1" applyAlignment="1" applyProtection="1">
      <alignment horizontal="center" vertical="center"/>
      <protection/>
    </xf>
    <xf numFmtId="165" fontId="18" fillId="0" borderId="16" xfId="57" applyFont="1" applyFill="1" applyBorder="1" applyAlignment="1" applyProtection="1">
      <alignment horizontal="center" vertical="center"/>
      <protection/>
    </xf>
    <xf numFmtId="165" fontId="18" fillId="0" borderId="64" xfId="57" applyFont="1" applyFill="1" applyBorder="1" applyAlignment="1" applyProtection="1">
      <alignment horizontal="center" vertical="center"/>
      <protection/>
    </xf>
    <xf numFmtId="165" fontId="18" fillId="0" borderId="17" xfId="57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165" fontId="18" fillId="0" borderId="14" xfId="57" applyFont="1" applyFill="1" applyBorder="1" applyAlignment="1" applyProtection="1">
      <alignment horizontal="center" vertical="center"/>
      <protection/>
    </xf>
    <xf numFmtId="165" fontId="18" fillId="0" borderId="24" xfId="57" applyFont="1" applyFill="1" applyBorder="1" applyAlignment="1" applyProtection="1">
      <alignment horizontal="center" vertical="center"/>
      <protection/>
    </xf>
    <xf numFmtId="165" fontId="18" fillId="0" borderId="45" xfId="57" applyFont="1" applyFill="1" applyBorder="1" applyAlignment="1" applyProtection="1">
      <alignment horizontal="center" vertical="center"/>
      <protection/>
    </xf>
    <xf numFmtId="3" fontId="23" fillId="0" borderId="53" xfId="49" applyNumberFormat="1" applyFont="1" applyFill="1" applyBorder="1" applyAlignment="1">
      <alignment horizontal="center" vertical="center"/>
      <protection/>
    </xf>
    <xf numFmtId="3" fontId="23" fillId="0" borderId="31" xfId="49" applyNumberFormat="1" applyFont="1" applyFill="1" applyBorder="1" applyAlignment="1">
      <alignment horizontal="center" vertical="center"/>
      <protection/>
    </xf>
    <xf numFmtId="2" fontId="23" fillId="0" borderId="50" xfId="57" applyNumberFormat="1" applyFont="1" applyFill="1" applyBorder="1" applyAlignment="1" applyProtection="1">
      <alignment horizontal="center" vertical="center" wrapText="1"/>
      <protection/>
    </xf>
    <xf numFmtId="2" fontId="23" fillId="0" borderId="10" xfId="57" applyNumberFormat="1" applyFont="1" applyFill="1" applyBorder="1" applyAlignment="1" applyProtection="1">
      <alignment horizontal="center" vertical="center" wrapText="1"/>
      <protection/>
    </xf>
    <xf numFmtId="4" fontId="26" fillId="0" borderId="12" xfId="57" applyNumberFormat="1" applyFont="1" applyFill="1" applyBorder="1" applyAlignment="1" applyProtection="1">
      <alignment horizontal="right" vertical="center"/>
      <protection/>
    </xf>
    <xf numFmtId="4" fontId="26" fillId="0" borderId="0" xfId="57" applyNumberFormat="1" applyFont="1" applyFill="1" applyBorder="1" applyAlignment="1" applyProtection="1">
      <alignment horizontal="right" vertical="center"/>
      <protection/>
    </xf>
    <xf numFmtId="4" fontId="26" fillId="0" borderId="29" xfId="57" applyNumberFormat="1" applyFont="1" applyFill="1" applyBorder="1" applyAlignment="1" applyProtection="1">
      <alignment horizontal="right" vertical="center"/>
      <protection/>
    </xf>
    <xf numFmtId="4" fontId="19" fillId="0" borderId="12" xfId="57" applyNumberFormat="1" applyFont="1" applyFill="1" applyBorder="1" applyAlignment="1" applyProtection="1">
      <alignment horizontal="right" vertical="center"/>
      <protection/>
    </xf>
    <xf numFmtId="4" fontId="19" fillId="0" borderId="0" xfId="57" applyNumberFormat="1" applyFont="1" applyFill="1" applyBorder="1" applyAlignment="1" applyProtection="1">
      <alignment horizontal="right" vertical="center"/>
      <protection/>
    </xf>
    <xf numFmtId="4" fontId="19" fillId="0" borderId="29" xfId="57" applyNumberFormat="1" applyFont="1" applyFill="1" applyBorder="1" applyAlignment="1" applyProtection="1">
      <alignment horizontal="right" vertical="center"/>
      <protection/>
    </xf>
    <xf numFmtId="4" fontId="26" fillId="0" borderId="16" xfId="57" applyNumberFormat="1" applyFont="1" applyFill="1" applyBorder="1" applyAlignment="1" applyProtection="1">
      <alignment horizontal="right" vertical="center"/>
      <protection/>
    </xf>
    <xf numFmtId="4" fontId="26" fillId="0" borderId="10" xfId="57" applyNumberFormat="1" applyFont="1" applyFill="1" applyBorder="1" applyAlignment="1" applyProtection="1">
      <alignment horizontal="right" vertical="center"/>
      <protection/>
    </xf>
    <xf numFmtId="4" fontId="19" fillId="0" borderId="17" xfId="57" applyNumberFormat="1" applyFont="1" applyFill="1" applyBorder="1" applyAlignment="1" applyProtection="1">
      <alignment horizontal="right" vertical="center"/>
      <protection/>
    </xf>
    <xf numFmtId="4" fontId="26" fillId="0" borderId="17" xfId="57" applyNumberFormat="1" applyFont="1" applyFill="1" applyBorder="1" applyAlignment="1" applyProtection="1">
      <alignment horizontal="right" vertical="center"/>
      <protection/>
    </xf>
    <xf numFmtId="0" fontId="19" fillId="0" borderId="31" xfId="49" applyFont="1" applyFill="1" applyBorder="1" applyAlignment="1">
      <alignment horizontal="center" vertical="center"/>
      <protection/>
    </xf>
    <xf numFmtId="0" fontId="19" fillId="0" borderId="55" xfId="49" applyFont="1" applyFill="1" applyBorder="1" applyAlignment="1">
      <alignment horizontal="center" vertical="center"/>
      <protection/>
    </xf>
    <xf numFmtId="3" fontId="24" fillId="0" borderId="35" xfId="49" applyNumberFormat="1" applyFont="1" applyFill="1" applyBorder="1" applyAlignment="1">
      <alignment horizontal="center" vertical="center"/>
      <protection/>
    </xf>
    <xf numFmtId="3" fontId="24" fillId="0" borderId="34" xfId="49" applyNumberFormat="1" applyFont="1" applyFill="1" applyBorder="1" applyAlignment="1">
      <alignment horizontal="center" vertical="center"/>
      <protection/>
    </xf>
    <xf numFmtId="3" fontId="24" fillId="0" borderId="28" xfId="49" applyNumberFormat="1" applyFont="1" applyFill="1" applyBorder="1" applyAlignment="1">
      <alignment horizontal="center" vertical="center"/>
      <protection/>
    </xf>
    <xf numFmtId="3" fontId="24" fillId="0" borderId="51" xfId="49" applyNumberFormat="1" applyFont="1" applyFill="1" applyBorder="1" applyAlignment="1">
      <alignment horizontal="center" vertical="center"/>
      <protection/>
    </xf>
    <xf numFmtId="3" fontId="24" fillId="0" borderId="0" xfId="49" applyNumberFormat="1" applyFont="1" applyFill="1" applyBorder="1" applyAlignment="1">
      <alignment horizontal="center" vertical="center"/>
      <protection/>
    </xf>
    <xf numFmtId="3" fontId="24" fillId="0" borderId="29" xfId="49" applyNumberFormat="1" applyFont="1" applyFill="1" applyBorder="1" applyAlignment="1">
      <alignment horizontal="center" vertical="center"/>
      <protection/>
    </xf>
    <xf numFmtId="0" fontId="23" fillId="0" borderId="35" xfId="49" applyFont="1" applyBorder="1" applyAlignment="1">
      <alignment horizontal="center" vertical="center"/>
      <protection/>
    </xf>
    <xf numFmtId="0" fontId="23" fillId="0" borderId="34" xfId="49" applyFont="1" applyBorder="1" applyAlignment="1">
      <alignment horizontal="center" vertical="center"/>
      <protection/>
    </xf>
    <xf numFmtId="0" fontId="23" fillId="0" borderId="28" xfId="49" applyFont="1" applyBorder="1" applyAlignment="1">
      <alignment horizontal="center" vertical="center"/>
      <protection/>
    </xf>
    <xf numFmtId="0" fontId="23" fillId="0" borderId="51" xfId="49" applyFont="1" applyBorder="1" applyAlignment="1">
      <alignment horizontal="center" vertical="center"/>
      <protection/>
    </xf>
    <xf numFmtId="0" fontId="23" fillId="0" borderId="0" xfId="49" applyFont="1" applyBorder="1" applyAlignment="1">
      <alignment horizontal="center" vertical="center"/>
      <protection/>
    </xf>
    <xf numFmtId="0" fontId="23" fillId="0" borderId="29" xfId="49" applyFont="1" applyBorder="1" applyAlignment="1">
      <alignment horizontal="center" vertical="center"/>
      <protection/>
    </xf>
    <xf numFmtId="165" fontId="19" fillId="0" borderId="12" xfId="60" applyFont="1" applyFill="1" applyBorder="1" applyAlignment="1" applyProtection="1">
      <alignment horizontal="center" vertical="center"/>
      <protection/>
    </xf>
    <xf numFmtId="165" fontId="19" fillId="0" borderId="29" xfId="60" applyFont="1" applyFill="1" applyBorder="1" applyAlignment="1" applyProtection="1">
      <alignment horizontal="center" vertical="center"/>
      <protection/>
    </xf>
    <xf numFmtId="165" fontId="26" fillId="0" borderId="42" xfId="60" applyFont="1" applyFill="1" applyBorder="1" applyAlignment="1" applyProtection="1">
      <alignment horizontal="center" vertical="center"/>
      <protection/>
    </xf>
    <xf numFmtId="43" fontId="18" fillId="0" borderId="42" xfId="49" applyNumberFormat="1" applyFont="1" applyBorder="1" applyAlignment="1">
      <alignment horizontal="right" vertical="center"/>
      <protection/>
    </xf>
    <xf numFmtId="0" fontId="18" fillId="0" borderId="42" xfId="49" applyFont="1" applyBorder="1" applyAlignment="1">
      <alignment horizontal="right" vertical="center"/>
      <protection/>
    </xf>
    <xf numFmtId="43" fontId="23" fillId="0" borderId="42" xfId="49" applyNumberFormat="1" applyFont="1" applyBorder="1" applyAlignment="1">
      <alignment horizontal="right" vertical="center"/>
      <protection/>
    </xf>
    <xf numFmtId="0" fontId="23" fillId="0" borderId="42" xfId="49" applyFont="1" applyBorder="1" applyAlignment="1">
      <alignment horizontal="right" vertical="center"/>
      <protection/>
    </xf>
    <xf numFmtId="165" fontId="19" fillId="0" borderId="12" xfId="57" applyFont="1" applyFill="1" applyBorder="1" applyAlignment="1" applyProtection="1">
      <alignment horizontal="center" vertical="center"/>
      <protection/>
    </xf>
    <xf numFmtId="165" fontId="19" fillId="0" borderId="29" xfId="57" applyFont="1" applyFill="1" applyBorder="1" applyAlignment="1" applyProtection="1">
      <alignment horizontal="center" vertical="center"/>
      <protection/>
    </xf>
    <xf numFmtId="165" fontId="26" fillId="0" borderId="12" xfId="60" applyFont="1" applyFill="1" applyBorder="1" applyAlignment="1" applyProtection="1">
      <alignment horizontal="center" vertical="center"/>
      <protection/>
    </xf>
    <xf numFmtId="165" fontId="26" fillId="0" borderId="29" xfId="60" applyFont="1" applyFill="1" applyBorder="1" applyAlignment="1" applyProtection="1">
      <alignment horizontal="center" vertical="center"/>
      <protection/>
    </xf>
    <xf numFmtId="0" fontId="19" fillId="0" borderId="53" xfId="49" applyFont="1" applyFill="1" applyBorder="1" applyAlignment="1">
      <alignment horizontal="center" vertical="center"/>
      <protection/>
    </xf>
    <xf numFmtId="4" fontId="26" fillId="0" borderId="36" xfId="57" applyNumberFormat="1" applyFont="1" applyFill="1" applyBorder="1" applyAlignment="1" applyProtection="1">
      <alignment horizontal="right" vertical="center"/>
      <protection/>
    </xf>
    <xf numFmtId="4" fontId="26" fillId="0" borderId="34" xfId="57" applyNumberFormat="1" applyFont="1" applyFill="1" applyBorder="1" applyAlignment="1" applyProtection="1">
      <alignment horizontal="right" vertical="center"/>
      <protection/>
    </xf>
    <xf numFmtId="4" fontId="26" fillId="0" borderId="28" xfId="57" applyNumberFormat="1" applyFont="1" applyFill="1" applyBorder="1" applyAlignment="1" applyProtection="1">
      <alignment horizontal="right" vertical="center"/>
      <protection/>
    </xf>
    <xf numFmtId="165" fontId="26" fillId="0" borderId="51" xfId="60" applyFont="1" applyFill="1" applyBorder="1" applyAlignment="1" applyProtection="1">
      <alignment horizontal="center" vertical="center"/>
      <protection/>
    </xf>
    <xf numFmtId="4" fontId="19" fillId="0" borderId="14" xfId="57" applyNumberFormat="1" applyFont="1" applyFill="1" applyBorder="1" applyAlignment="1" applyProtection="1">
      <alignment horizontal="right" vertical="center"/>
      <protection/>
    </xf>
    <xf numFmtId="4" fontId="19" fillId="0" borderId="24" xfId="57" applyNumberFormat="1" applyFont="1" applyFill="1" applyBorder="1" applyAlignment="1" applyProtection="1">
      <alignment horizontal="right" vertical="center"/>
      <protection/>
    </xf>
    <xf numFmtId="4" fontId="19" fillId="0" borderId="51" xfId="57" applyNumberFormat="1" applyFont="1" applyFill="1" applyBorder="1" applyAlignment="1" applyProtection="1">
      <alignment horizontal="right" vertical="center"/>
      <protection/>
    </xf>
    <xf numFmtId="4" fontId="19" fillId="35" borderId="12" xfId="57" applyNumberFormat="1" applyFont="1" applyFill="1" applyBorder="1" applyAlignment="1" applyProtection="1">
      <alignment horizontal="right" vertical="center"/>
      <protection/>
    </xf>
    <xf numFmtId="4" fontId="19" fillId="35" borderId="17" xfId="57" applyNumberFormat="1" applyFont="1" applyFill="1" applyBorder="1" applyAlignment="1" applyProtection="1">
      <alignment horizontal="right" vertical="center"/>
      <protection/>
    </xf>
    <xf numFmtId="3" fontId="19" fillId="0" borderId="11" xfId="49" applyNumberFormat="1" applyFont="1" applyFill="1" applyBorder="1" applyAlignment="1">
      <alignment horizontal="center" vertical="center"/>
      <protection/>
    </xf>
    <xf numFmtId="3" fontId="19" fillId="0" borderId="15" xfId="49" applyNumberFormat="1" applyFont="1" applyFill="1" applyBorder="1" applyAlignment="1">
      <alignment horizontal="center" vertical="center" wrapText="1"/>
      <protection/>
    </xf>
    <xf numFmtId="3" fontId="19" fillId="0" borderId="16" xfId="49" applyNumberFormat="1" applyFont="1" applyFill="1" applyBorder="1" applyAlignment="1">
      <alignment horizontal="center" vertical="center"/>
      <protection/>
    </xf>
    <xf numFmtId="3" fontId="19" fillId="0" borderId="67" xfId="49" applyNumberFormat="1" applyFont="1" applyFill="1" applyBorder="1" applyAlignment="1">
      <alignment horizontal="center" vertical="center"/>
      <protection/>
    </xf>
    <xf numFmtId="3" fontId="19" fillId="0" borderId="53" xfId="49" applyNumberFormat="1" applyFont="1" applyFill="1" applyBorder="1" applyAlignment="1">
      <alignment horizontal="center" vertical="center"/>
      <protection/>
    </xf>
    <xf numFmtId="3" fontId="19" fillId="0" borderId="31" xfId="49" applyNumberFormat="1" applyFont="1" applyFill="1" applyBorder="1" applyAlignment="1">
      <alignment horizontal="center" vertical="center"/>
      <protection/>
    </xf>
    <xf numFmtId="3" fontId="19" fillId="0" borderId="55" xfId="49" applyNumberFormat="1" applyFont="1" applyFill="1" applyBorder="1" applyAlignment="1">
      <alignment horizontal="center" vertical="center"/>
      <protection/>
    </xf>
    <xf numFmtId="0" fontId="18" fillId="0" borderId="53" xfId="49" applyFont="1" applyFill="1" applyBorder="1" applyAlignment="1">
      <alignment horizontal="center" vertical="center"/>
      <protection/>
    </xf>
    <xf numFmtId="0" fontId="18" fillId="0" borderId="55" xfId="49" applyFont="1" applyFill="1" applyBorder="1" applyAlignment="1">
      <alignment horizontal="center" vertical="center"/>
      <protection/>
    </xf>
    <xf numFmtId="3" fontId="19" fillId="0" borderId="20" xfId="49" applyNumberFormat="1" applyFont="1" applyFill="1" applyBorder="1" applyAlignment="1">
      <alignment horizontal="center" vertical="center" wrapText="1"/>
      <protection/>
    </xf>
    <xf numFmtId="3" fontId="19" fillId="0" borderId="22" xfId="49" applyNumberFormat="1" applyFont="1" applyFill="1" applyBorder="1" applyAlignment="1">
      <alignment horizontal="center" vertical="center" wrapText="1"/>
      <protection/>
    </xf>
    <xf numFmtId="3" fontId="19" fillId="0" borderId="14" xfId="49" applyNumberFormat="1" applyFont="1" applyFill="1" applyBorder="1" applyAlignment="1">
      <alignment horizontal="center" vertical="center" wrapText="1"/>
      <protection/>
    </xf>
    <xf numFmtId="3" fontId="19" fillId="0" borderId="23" xfId="49" applyNumberFormat="1" applyFont="1" applyFill="1" applyBorder="1" applyAlignment="1">
      <alignment horizontal="center" vertical="center" wrapText="1"/>
      <protection/>
    </xf>
    <xf numFmtId="4" fontId="26" fillId="0" borderId="20" xfId="57" applyNumberFormat="1" applyFont="1" applyFill="1" applyBorder="1" applyAlignment="1" applyProtection="1">
      <alignment horizontal="right" vertical="center"/>
      <protection/>
    </xf>
    <xf numFmtId="4" fontId="26" fillId="0" borderId="19" xfId="57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Border="1" applyAlignment="1">
      <alignment horizontal="left" indent="7"/>
    </xf>
    <xf numFmtId="3" fontId="19" fillId="0" borderId="11" xfId="49" applyNumberFormat="1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0" fillId="0" borderId="0" xfId="51" applyNumberFormat="1" applyFont="1" applyFill="1" applyAlignment="1">
      <alignment horizontal="center"/>
      <protection/>
    </xf>
    <xf numFmtId="0" fontId="0" fillId="0" borderId="0" xfId="0" applyFont="1" applyAlignment="1">
      <alignment horizontal="center"/>
    </xf>
    <xf numFmtId="0" fontId="90" fillId="0" borderId="0" xfId="0" applyFont="1" applyAlignment="1">
      <alignment horizontal="center" readingOrder="1"/>
    </xf>
    <xf numFmtId="0" fontId="91" fillId="0" borderId="0" xfId="0" applyFont="1" applyAlignment="1">
      <alignment horizontal="center" readingOrder="1"/>
    </xf>
    <xf numFmtId="0" fontId="19" fillId="0" borderId="25" xfId="51" applyFont="1" applyBorder="1" applyAlignment="1">
      <alignment horizontal="center" vertical="center" wrapText="1"/>
      <protection/>
    </xf>
    <xf numFmtId="0" fontId="19" fillId="0" borderId="27" xfId="51" applyFont="1" applyBorder="1" applyAlignment="1">
      <alignment horizontal="center" vertical="center" wrapText="1"/>
      <protection/>
    </xf>
    <xf numFmtId="0" fontId="19" fillId="0" borderId="21" xfId="51" applyFont="1" applyFill="1" applyBorder="1" applyAlignment="1">
      <alignment horizontal="center" vertical="center" wrapText="1"/>
      <protection/>
    </xf>
    <xf numFmtId="0" fontId="19" fillId="0" borderId="13" xfId="51" applyFont="1" applyFill="1" applyBorder="1" applyAlignment="1">
      <alignment horizontal="center" vertical="center" wrapText="1"/>
      <protection/>
    </xf>
    <xf numFmtId="0" fontId="19" fillId="0" borderId="87" xfId="51" applyFont="1" applyFill="1" applyBorder="1" applyAlignment="1">
      <alignment horizontal="center" vertical="center"/>
      <protection/>
    </xf>
    <xf numFmtId="0" fontId="19" fillId="0" borderId="88" xfId="51" applyFont="1" applyFill="1" applyBorder="1" applyAlignment="1">
      <alignment horizontal="center" vertical="center"/>
      <protection/>
    </xf>
    <xf numFmtId="0" fontId="19" fillId="0" borderId="89" xfId="51" applyFont="1" applyFill="1" applyBorder="1" applyAlignment="1">
      <alignment horizontal="center" vertical="center"/>
      <protection/>
    </xf>
    <xf numFmtId="0" fontId="19" fillId="0" borderId="15" xfId="51" applyFont="1" applyFill="1" applyBorder="1" applyAlignment="1">
      <alignment horizontal="center" vertical="center"/>
      <protection/>
    </xf>
    <xf numFmtId="0" fontId="26" fillId="0" borderId="63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9" fillId="0" borderId="21" xfId="51" applyFont="1" applyFill="1" applyBorder="1" applyAlignment="1">
      <alignment horizontal="center" vertical="center"/>
      <protection/>
    </xf>
    <xf numFmtId="0" fontId="19" fillId="0" borderId="13" xfId="51" applyFont="1" applyFill="1" applyBorder="1" applyAlignment="1">
      <alignment horizontal="center" vertical="center"/>
      <protection/>
    </xf>
    <xf numFmtId="0" fontId="19" fillId="0" borderId="0" xfId="51" applyFont="1" applyFill="1" applyBorder="1" applyAlignment="1">
      <alignment horizontal="left" indent="7"/>
      <protection/>
    </xf>
    <xf numFmtId="0" fontId="19" fillId="0" borderId="0" xfId="51" applyFont="1" applyFill="1" applyBorder="1" applyAlignment="1">
      <alignment horizontal="left" indent="8"/>
      <protection/>
    </xf>
    <xf numFmtId="0" fontId="19" fillId="0" borderId="0" xfId="51" applyFont="1" applyFill="1" applyBorder="1" applyAlignment="1">
      <alignment horizontal="left" vertical="center" indent="7"/>
      <protection/>
    </xf>
    <xf numFmtId="0" fontId="19" fillId="0" borderId="47" xfId="51" applyFont="1" applyFill="1" applyBorder="1" applyAlignment="1">
      <alignment horizontal="center" vertical="center"/>
      <protection/>
    </xf>
    <xf numFmtId="0" fontId="19" fillId="0" borderId="36" xfId="51" applyFont="1" applyFill="1" applyBorder="1" applyAlignment="1">
      <alignment horizontal="center" vertical="center"/>
      <protection/>
    </xf>
    <xf numFmtId="0" fontId="19" fillId="0" borderId="34" xfId="51" applyFont="1" applyFill="1" applyBorder="1" applyAlignment="1">
      <alignment horizontal="center" vertical="center"/>
      <protection/>
    </xf>
    <xf numFmtId="0" fontId="19" fillId="0" borderId="28" xfId="51" applyFont="1" applyFill="1" applyBorder="1" applyAlignment="1">
      <alignment horizontal="center" vertical="center"/>
      <protection/>
    </xf>
    <xf numFmtId="165" fontId="18" fillId="0" borderId="12" xfId="63" applyNumberFormat="1" applyFont="1" applyFill="1" applyBorder="1" applyAlignment="1" applyProtection="1">
      <alignment horizontal="center" vertical="center"/>
      <protection/>
    </xf>
    <xf numFmtId="165" fontId="18" fillId="0" borderId="0" xfId="63" applyNumberFormat="1" applyFont="1" applyFill="1" applyBorder="1" applyAlignment="1" applyProtection="1">
      <alignment horizontal="center" vertical="center"/>
      <protection/>
    </xf>
    <xf numFmtId="165" fontId="18" fillId="0" borderId="29" xfId="63" applyNumberFormat="1" applyFont="1" applyFill="1" applyBorder="1" applyAlignment="1" applyProtection="1">
      <alignment horizontal="center" vertical="center"/>
      <protection/>
    </xf>
    <xf numFmtId="165" fontId="23" fillId="0" borderId="53" xfId="63" applyNumberFormat="1" applyFont="1" applyFill="1" applyBorder="1" applyAlignment="1" applyProtection="1">
      <alignment horizontal="center" vertical="center" wrapText="1"/>
      <protection/>
    </xf>
    <xf numFmtId="165" fontId="23" fillId="0" borderId="31" xfId="63" applyNumberFormat="1" applyFont="1" applyFill="1" applyBorder="1" applyAlignment="1" applyProtection="1">
      <alignment horizontal="center" vertical="center" wrapText="1"/>
      <protection/>
    </xf>
    <xf numFmtId="165" fontId="23" fillId="0" borderId="55" xfId="63" applyNumberFormat="1" applyFont="1" applyFill="1" applyBorder="1" applyAlignment="1" applyProtection="1">
      <alignment horizontal="center" vertical="center" wrapText="1"/>
      <protection/>
    </xf>
    <xf numFmtId="165" fontId="23" fillId="0" borderId="53" xfId="0" applyNumberFormat="1" applyFont="1" applyFill="1" applyBorder="1" applyAlignment="1">
      <alignment horizontal="center" vertical="center"/>
    </xf>
    <xf numFmtId="165" fontId="23" fillId="0" borderId="31" xfId="0" applyNumberFormat="1" applyFont="1" applyFill="1" applyBorder="1" applyAlignment="1">
      <alignment horizontal="center" vertical="center"/>
    </xf>
    <xf numFmtId="165" fontId="23" fillId="0" borderId="55" xfId="0" applyNumberFormat="1" applyFont="1" applyFill="1" applyBorder="1" applyAlignment="1">
      <alignment horizontal="center" vertical="center"/>
    </xf>
    <xf numFmtId="164" fontId="18" fillId="0" borderId="53" xfId="0" applyNumberFormat="1" applyFont="1" applyFill="1" applyBorder="1" applyAlignment="1">
      <alignment horizontal="center"/>
    </xf>
    <xf numFmtId="164" fontId="18" fillId="0" borderId="31" xfId="0" applyNumberFormat="1" applyFont="1" applyFill="1" applyBorder="1" applyAlignment="1">
      <alignment horizontal="center"/>
    </xf>
    <xf numFmtId="164" fontId="18" fillId="0" borderId="55" xfId="0" applyNumberFormat="1" applyFont="1" applyFill="1" applyBorder="1" applyAlignment="1">
      <alignment horizontal="center"/>
    </xf>
    <xf numFmtId="165" fontId="23" fillId="0" borderId="54" xfId="63" applyNumberFormat="1" applyFont="1" applyFill="1" applyBorder="1" applyAlignment="1" applyProtection="1">
      <alignment horizontal="right" vertical="center"/>
      <protection/>
    </xf>
    <xf numFmtId="165" fontId="23" fillId="0" borderId="41" xfId="63" applyNumberFormat="1" applyFont="1" applyFill="1" applyBorder="1" applyAlignment="1" applyProtection="1">
      <alignment horizontal="right" vertical="center"/>
      <protection/>
    </xf>
    <xf numFmtId="165" fontId="23" fillId="0" borderId="30" xfId="63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165" fontId="18" fillId="0" borderId="12" xfId="63" applyNumberFormat="1" applyFont="1" applyFill="1" applyBorder="1" applyAlignment="1" applyProtection="1">
      <alignment horizontal="center" vertical="center" wrapText="1"/>
      <protection/>
    </xf>
    <xf numFmtId="165" fontId="18" fillId="0" borderId="0" xfId="63" applyNumberFormat="1" applyFont="1" applyFill="1" applyBorder="1" applyAlignment="1" applyProtection="1">
      <alignment horizontal="center" vertical="center" wrapText="1"/>
      <protection/>
    </xf>
    <xf numFmtId="165" fontId="18" fillId="0" borderId="29" xfId="63" applyNumberFormat="1" applyFont="1" applyFill="1" applyBorder="1" applyAlignment="1" applyProtection="1">
      <alignment horizontal="center" vertical="center" wrapText="1"/>
      <protection/>
    </xf>
    <xf numFmtId="165" fontId="23" fillId="0" borderId="36" xfId="63" applyNumberFormat="1" applyFont="1" applyFill="1" applyBorder="1" applyAlignment="1" applyProtection="1">
      <alignment horizontal="center" vertical="center" wrapText="1"/>
      <protection/>
    </xf>
    <xf numFmtId="165" fontId="23" fillId="0" borderId="34" xfId="63" applyNumberFormat="1" applyFont="1" applyFill="1" applyBorder="1" applyAlignment="1" applyProtection="1">
      <alignment horizontal="center" vertical="center" wrapText="1"/>
      <protection/>
    </xf>
    <xf numFmtId="165" fontId="23" fillId="0" borderId="28" xfId="63" applyNumberFormat="1" applyFont="1" applyFill="1" applyBorder="1" applyAlignment="1" applyProtection="1">
      <alignment horizontal="center" vertical="center" wrapText="1"/>
      <protection/>
    </xf>
    <xf numFmtId="165" fontId="23" fillId="0" borderId="51" xfId="63" applyNumberFormat="1" applyFont="1" applyFill="1" applyBorder="1" applyAlignment="1" applyProtection="1">
      <alignment horizontal="right" vertical="center"/>
      <protection/>
    </xf>
    <xf numFmtId="165" fontId="23" fillId="0" borderId="0" xfId="63" applyNumberFormat="1" applyFont="1" applyFill="1" applyBorder="1" applyAlignment="1" applyProtection="1">
      <alignment horizontal="right" vertical="center"/>
      <protection/>
    </xf>
    <xf numFmtId="165" fontId="23" fillId="0" borderId="29" xfId="63" applyNumberFormat="1" applyFont="1" applyFill="1" applyBorder="1" applyAlignment="1" applyProtection="1">
      <alignment horizontal="right" vertical="center"/>
      <protection/>
    </xf>
    <xf numFmtId="165" fontId="23" fillId="0" borderId="12" xfId="63" applyNumberFormat="1" applyFont="1" applyFill="1" applyBorder="1" applyAlignment="1" applyProtection="1">
      <alignment horizontal="center" vertical="center" wrapText="1"/>
      <protection/>
    </xf>
    <xf numFmtId="165" fontId="23" fillId="0" borderId="0" xfId="63" applyNumberFormat="1" applyFont="1" applyFill="1" applyBorder="1" applyAlignment="1" applyProtection="1">
      <alignment horizontal="center" vertical="center" wrapText="1"/>
      <protection/>
    </xf>
    <xf numFmtId="165" fontId="23" fillId="0" borderId="29" xfId="63" applyNumberFormat="1" applyFont="1" applyFill="1" applyBorder="1" applyAlignment="1" applyProtection="1">
      <alignment horizontal="center" vertical="center" wrapText="1"/>
      <protection/>
    </xf>
    <xf numFmtId="0" fontId="18" fillId="0" borderId="35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165" fontId="23" fillId="0" borderId="53" xfId="63" applyNumberFormat="1" applyFont="1" applyFill="1" applyBorder="1" applyAlignment="1" applyProtection="1">
      <alignment horizontal="right" vertical="center"/>
      <protection/>
    </xf>
    <xf numFmtId="165" fontId="23" fillId="0" borderId="31" xfId="63" applyNumberFormat="1" applyFont="1" applyFill="1" applyBorder="1" applyAlignment="1" applyProtection="1">
      <alignment horizontal="right" vertical="center"/>
      <protection/>
    </xf>
    <xf numFmtId="165" fontId="23" fillId="0" borderId="55" xfId="63" applyNumberFormat="1" applyFont="1" applyFill="1" applyBorder="1" applyAlignment="1" applyProtection="1">
      <alignment horizontal="right" vertical="center"/>
      <protection/>
    </xf>
    <xf numFmtId="165" fontId="0" fillId="0" borderId="42" xfId="63" applyNumberFormat="1" applyFont="1" applyFill="1" applyBorder="1" applyAlignment="1" applyProtection="1">
      <alignment horizontal="center" vertical="top" wrapText="1"/>
      <protection/>
    </xf>
    <xf numFmtId="0" fontId="18" fillId="0" borderId="53" xfId="0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horizontal="left" vertical="center" wrapText="1"/>
    </xf>
    <xf numFmtId="0" fontId="18" fillId="0" borderId="55" xfId="0" applyFont="1" applyFill="1" applyBorder="1" applyAlignment="1">
      <alignment horizontal="left" vertical="center" wrapText="1"/>
    </xf>
    <xf numFmtId="165" fontId="2" fillId="0" borderId="53" xfId="63" applyNumberFormat="1" applyFont="1" applyFill="1" applyBorder="1" applyAlignment="1" applyProtection="1">
      <alignment horizontal="center" vertical="center" wrapText="1"/>
      <protection/>
    </xf>
    <xf numFmtId="165" fontId="2" fillId="0" borderId="31" xfId="63" applyNumberFormat="1" applyFont="1" applyFill="1" applyBorder="1" applyAlignment="1" applyProtection="1">
      <alignment horizontal="center" vertical="center" wrapText="1"/>
      <protection/>
    </xf>
    <xf numFmtId="165" fontId="2" fillId="0" borderId="55" xfId="63" applyNumberFormat="1" applyFont="1" applyFill="1" applyBorder="1" applyAlignment="1" applyProtection="1">
      <alignment horizontal="center" vertical="center" wrapText="1"/>
      <protection/>
    </xf>
    <xf numFmtId="165" fontId="23" fillId="0" borderId="35" xfId="63" applyNumberFormat="1" applyFont="1" applyFill="1" applyBorder="1" applyAlignment="1" applyProtection="1">
      <alignment horizontal="right" vertical="center"/>
      <protection/>
    </xf>
    <xf numFmtId="165" fontId="23" fillId="0" borderId="34" xfId="63" applyNumberFormat="1" applyFont="1" applyFill="1" applyBorder="1" applyAlignment="1" applyProtection="1">
      <alignment horizontal="right" vertical="center"/>
      <protection/>
    </xf>
    <xf numFmtId="165" fontId="23" fillId="0" borderId="28" xfId="63" applyNumberFormat="1" applyFont="1" applyFill="1" applyBorder="1" applyAlignment="1" applyProtection="1">
      <alignment horizontal="right" vertical="center"/>
      <protection/>
    </xf>
    <xf numFmtId="0" fontId="12" fillId="0" borderId="1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165" fontId="0" fillId="0" borderId="53" xfId="63" applyNumberFormat="1" applyFont="1" applyFill="1" applyBorder="1" applyAlignment="1" applyProtection="1">
      <alignment horizontal="center" vertical="top" wrapText="1"/>
      <protection/>
    </xf>
    <xf numFmtId="165" fontId="0" fillId="0" borderId="31" xfId="63" applyNumberFormat="1" applyFont="1" applyFill="1" applyBorder="1" applyAlignment="1" applyProtection="1">
      <alignment horizontal="center" vertical="top" wrapText="1"/>
      <protection/>
    </xf>
    <xf numFmtId="165" fontId="0" fillId="0" borderId="55" xfId="63" applyNumberFormat="1" applyFont="1" applyFill="1" applyBorder="1" applyAlignment="1" applyProtection="1">
      <alignment horizontal="center" vertical="top" wrapText="1"/>
      <protection/>
    </xf>
    <xf numFmtId="0" fontId="18" fillId="0" borderId="53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wrapText="1"/>
    </xf>
    <xf numFmtId="0" fontId="18" fillId="0" borderId="34" xfId="0" applyFont="1" applyFill="1" applyBorder="1" applyAlignment="1">
      <alignment horizontal="center" wrapText="1"/>
    </xf>
    <xf numFmtId="0" fontId="18" fillId="0" borderId="54" xfId="0" applyFont="1" applyFill="1" applyBorder="1" applyAlignment="1">
      <alignment horizontal="center" vertical="top" wrapText="1"/>
    </xf>
    <xf numFmtId="0" fontId="18" fillId="0" borderId="41" xfId="0" applyFont="1" applyFill="1" applyBorder="1" applyAlignment="1">
      <alignment horizontal="center" vertical="top" wrapText="1"/>
    </xf>
    <xf numFmtId="0" fontId="18" fillId="0" borderId="54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165" fontId="0" fillId="0" borderId="53" xfId="63" applyNumberFormat="1" applyFont="1" applyFill="1" applyBorder="1" applyAlignment="1">
      <alignment horizontal="center" vertical="center"/>
    </xf>
    <xf numFmtId="165" fontId="0" fillId="0" borderId="31" xfId="63" applyNumberFormat="1" applyFont="1" applyFill="1" applyBorder="1" applyAlignment="1">
      <alignment horizontal="center" vertical="center"/>
    </xf>
    <xf numFmtId="165" fontId="0" fillId="0" borderId="55" xfId="63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 wrapText="1"/>
    </xf>
    <xf numFmtId="165" fontId="2" fillId="0" borderId="42" xfId="63" applyNumberFormat="1" applyFont="1" applyFill="1" applyBorder="1" applyAlignment="1" applyProtection="1">
      <alignment horizontal="center" vertical="top" wrapText="1"/>
      <protection/>
    </xf>
    <xf numFmtId="0" fontId="12" fillId="0" borderId="0" xfId="0" applyFont="1" applyFill="1" applyBorder="1" applyAlignment="1">
      <alignment horizontal="center"/>
    </xf>
    <xf numFmtId="43" fontId="23" fillId="0" borderId="31" xfId="0" applyNumberFormat="1" applyFont="1" applyFill="1" applyBorder="1" applyAlignment="1">
      <alignment horizontal="center" vertical="center" wrapText="1"/>
    </xf>
    <xf numFmtId="165" fontId="23" fillId="0" borderId="31" xfId="0" applyNumberFormat="1" applyFont="1" applyFill="1" applyBorder="1" applyAlignment="1">
      <alignment horizontal="center" vertical="center" wrapText="1"/>
    </xf>
    <xf numFmtId="165" fontId="23" fillId="0" borderId="55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165" fontId="23" fillId="0" borderId="53" xfId="0" applyNumberFormat="1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23" fillId="35" borderId="17" xfId="0" applyFont="1" applyFill="1" applyBorder="1" applyAlignment="1">
      <alignment horizontal="center" vertical="top" wrapText="1"/>
    </xf>
    <xf numFmtId="0" fontId="23" fillId="35" borderId="0" xfId="0" applyFont="1" applyFill="1" applyBorder="1" applyAlignment="1">
      <alignment horizontal="center" vertical="top" wrapText="1"/>
    </xf>
    <xf numFmtId="165" fontId="23" fillId="0" borderId="16" xfId="0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164" fontId="18" fillId="0" borderId="53" xfId="0" applyNumberFormat="1" applyFont="1" applyFill="1" applyBorder="1" applyAlignment="1">
      <alignment horizontal="center" vertical="center"/>
    </xf>
    <xf numFmtId="164" fontId="18" fillId="0" borderId="31" xfId="0" applyNumberFormat="1" applyFont="1" applyFill="1" applyBorder="1" applyAlignment="1">
      <alignment horizontal="center" vertical="center"/>
    </xf>
    <xf numFmtId="164" fontId="18" fillId="0" borderId="55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165" fontId="23" fillId="0" borderId="53" xfId="63" applyNumberFormat="1" applyFont="1" applyFill="1" applyBorder="1" applyAlignment="1" applyProtection="1">
      <alignment horizontal="right" vertical="center" wrapText="1"/>
      <protection/>
    </xf>
    <xf numFmtId="165" fontId="23" fillId="0" borderId="31" xfId="63" applyNumberFormat="1" applyFont="1" applyFill="1" applyBorder="1" applyAlignment="1" applyProtection="1">
      <alignment horizontal="right" vertical="center" wrapText="1"/>
      <protection/>
    </xf>
    <xf numFmtId="165" fontId="23" fillId="0" borderId="55" xfId="63" applyNumberFormat="1" applyFont="1" applyFill="1" applyBorder="1" applyAlignment="1" applyProtection="1">
      <alignment horizontal="right" vertical="center" wrapText="1"/>
      <protection/>
    </xf>
    <xf numFmtId="0" fontId="18" fillId="0" borderId="1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164" fontId="18" fillId="0" borderId="42" xfId="0" applyNumberFormat="1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left" vertical="center" wrapText="1"/>
    </xf>
    <xf numFmtId="0" fontId="23" fillId="35" borderId="10" xfId="0" applyFont="1" applyFill="1" applyBorder="1" applyAlignment="1">
      <alignment horizontal="left" vertical="center" wrapText="1"/>
    </xf>
    <xf numFmtId="165" fontId="18" fillId="35" borderId="42" xfId="0" applyNumberFormat="1" applyFont="1" applyFill="1" applyBorder="1" applyAlignment="1">
      <alignment horizontal="center" vertical="center" wrapText="1"/>
    </xf>
    <xf numFmtId="165" fontId="23" fillId="35" borderId="53" xfId="63" applyNumberFormat="1" applyFont="1" applyFill="1" applyBorder="1" applyAlignment="1" applyProtection="1">
      <alignment horizontal="center" vertical="center"/>
      <protection/>
    </xf>
    <xf numFmtId="165" fontId="23" fillId="35" borderId="55" xfId="63" applyNumberFormat="1" applyFont="1" applyFill="1" applyBorder="1" applyAlignment="1" applyProtection="1">
      <alignment horizontal="center" vertical="center"/>
      <protection/>
    </xf>
    <xf numFmtId="165" fontId="23" fillId="0" borderId="53" xfId="63" applyNumberFormat="1" applyFont="1" applyFill="1" applyBorder="1" applyAlignment="1" applyProtection="1">
      <alignment horizontal="center" vertical="center"/>
      <protection/>
    </xf>
    <xf numFmtId="165" fontId="23" fillId="0" borderId="55" xfId="63" applyNumberFormat="1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center"/>
    </xf>
    <xf numFmtId="165" fontId="18" fillId="0" borderId="35" xfId="63" applyNumberFormat="1" applyFont="1" applyFill="1" applyBorder="1" applyAlignment="1" applyProtection="1">
      <alignment horizontal="center" vertical="center"/>
      <protection/>
    </xf>
    <xf numFmtId="165" fontId="18" fillId="0" borderId="34" xfId="63" applyNumberFormat="1" applyFont="1" applyFill="1" applyBorder="1" applyAlignment="1" applyProtection="1">
      <alignment horizontal="center" vertical="center"/>
      <protection/>
    </xf>
    <xf numFmtId="165" fontId="18" fillId="0" borderId="28" xfId="63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>
      <alignment horizontal="center" vertical="center"/>
    </xf>
    <xf numFmtId="165" fontId="18" fillId="0" borderId="17" xfId="63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horizontal="left" wrapText="1"/>
    </xf>
    <xf numFmtId="43" fontId="18" fillId="0" borderId="51" xfId="0" applyNumberFormat="1" applyFont="1" applyFill="1" applyBorder="1" applyAlignment="1">
      <alignment horizontal="center" vertical="center"/>
    </xf>
    <xf numFmtId="43" fontId="18" fillId="0" borderId="0" xfId="0" applyNumberFormat="1" applyFont="1" applyFill="1" applyBorder="1" applyAlignment="1">
      <alignment horizontal="center" vertical="center"/>
    </xf>
    <xf numFmtId="43" fontId="18" fillId="0" borderId="29" xfId="0" applyNumberFormat="1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165" fontId="18" fillId="0" borderId="51" xfId="63" applyNumberFormat="1" applyFont="1" applyFill="1" applyBorder="1" applyAlignment="1" applyProtection="1">
      <alignment horizontal="center"/>
      <protection/>
    </xf>
    <xf numFmtId="165" fontId="18" fillId="0" borderId="0" xfId="63" applyNumberFormat="1" applyFont="1" applyFill="1" applyBorder="1" applyAlignment="1" applyProtection="1">
      <alignment horizontal="center"/>
      <protection/>
    </xf>
    <xf numFmtId="165" fontId="18" fillId="0" borderId="29" xfId="63" applyNumberFormat="1" applyFont="1" applyFill="1" applyBorder="1" applyAlignment="1" applyProtection="1">
      <alignment horizontal="center"/>
      <protection/>
    </xf>
    <xf numFmtId="165" fontId="18" fillId="0" borderId="37" xfId="63" applyNumberFormat="1" applyFont="1" applyFill="1" applyBorder="1" applyAlignment="1" applyProtection="1">
      <alignment horizontal="center" vertical="center"/>
      <protection/>
    </xf>
    <xf numFmtId="165" fontId="18" fillId="0" borderId="41" xfId="63" applyNumberFormat="1" applyFont="1" applyFill="1" applyBorder="1" applyAlignment="1" applyProtection="1">
      <alignment horizontal="center" vertical="center"/>
      <protection/>
    </xf>
    <xf numFmtId="165" fontId="18" fillId="0" borderId="30" xfId="63" applyNumberFormat="1" applyFont="1" applyFill="1" applyBorder="1" applyAlignment="1" applyProtection="1">
      <alignment horizontal="center" vertical="center"/>
      <protection/>
    </xf>
    <xf numFmtId="165" fontId="7" fillId="0" borderId="53" xfId="0" applyNumberFormat="1" applyFont="1" applyFill="1" applyBorder="1" applyAlignment="1">
      <alignment horizontal="center" vertical="center"/>
    </xf>
    <xf numFmtId="165" fontId="7" fillId="0" borderId="31" xfId="0" applyNumberFormat="1" applyFont="1" applyFill="1" applyBorder="1" applyAlignment="1">
      <alignment horizontal="center" vertical="center"/>
    </xf>
    <xf numFmtId="165" fontId="7" fillId="0" borderId="55" xfId="0" applyNumberFormat="1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165" fontId="87" fillId="35" borderId="0" xfId="63" applyNumberFormat="1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center" wrapText="1"/>
    </xf>
    <xf numFmtId="165" fontId="18" fillId="0" borderId="53" xfId="63" applyNumberFormat="1" applyFont="1" applyFill="1" applyBorder="1" applyAlignment="1" applyProtection="1">
      <alignment horizontal="center" vertical="center"/>
      <protection/>
    </xf>
    <xf numFmtId="165" fontId="18" fillId="0" borderId="31" xfId="63" applyNumberFormat="1" applyFont="1" applyFill="1" applyBorder="1" applyAlignment="1" applyProtection="1">
      <alignment horizontal="center" vertical="center"/>
      <protection/>
    </xf>
    <xf numFmtId="165" fontId="18" fillId="0" borderId="42" xfId="63" applyNumberFormat="1" applyFont="1" applyFill="1" applyBorder="1" applyAlignment="1" applyProtection="1">
      <alignment horizontal="center" vertical="center"/>
      <protection/>
    </xf>
    <xf numFmtId="165" fontId="23" fillId="35" borderId="42" xfId="0" applyNumberFormat="1" applyFont="1" applyFill="1" applyBorder="1" applyAlignment="1">
      <alignment horizontal="right" vertical="center" wrapText="1"/>
    </xf>
    <xf numFmtId="165" fontId="18" fillId="0" borderId="52" xfId="63" applyNumberFormat="1" applyFont="1" applyFill="1" applyBorder="1" applyAlignment="1" applyProtection="1">
      <alignment horizontal="center" vertical="center"/>
      <protection/>
    </xf>
    <xf numFmtId="165" fontId="23" fillId="0" borderId="54" xfId="63" applyNumberFormat="1" applyFont="1" applyFill="1" applyBorder="1" applyAlignment="1" applyProtection="1">
      <alignment horizontal="center" vertical="center"/>
      <protection/>
    </xf>
    <xf numFmtId="165" fontId="23" fillId="0" borderId="30" xfId="63" applyNumberFormat="1" applyFont="1" applyFill="1" applyBorder="1" applyAlignment="1" applyProtection="1">
      <alignment horizontal="center" vertical="center"/>
      <protection/>
    </xf>
    <xf numFmtId="165" fontId="18" fillId="0" borderId="14" xfId="63" applyNumberFormat="1" applyFont="1" applyFill="1" applyBorder="1" applyAlignment="1" applyProtection="1">
      <alignment horizontal="center" vertical="center"/>
      <protection/>
    </xf>
    <xf numFmtId="165" fontId="18" fillId="0" borderId="23" xfId="63" applyNumberFormat="1" applyFont="1" applyFill="1" applyBorder="1" applyAlignment="1" applyProtection="1">
      <alignment horizontal="center" vertical="center"/>
      <protection/>
    </xf>
    <xf numFmtId="165" fontId="18" fillId="0" borderId="45" xfId="63" applyNumberFormat="1" applyFont="1" applyFill="1" applyBorder="1" applyAlignment="1" applyProtection="1">
      <alignment horizontal="center" vertical="center"/>
      <protection/>
    </xf>
    <xf numFmtId="165" fontId="23" fillId="0" borderId="16" xfId="63" applyNumberFormat="1" applyFont="1" applyFill="1" applyBorder="1" applyAlignment="1" applyProtection="1">
      <alignment horizontal="center" vertical="center" wrapText="1"/>
      <protection/>
    </xf>
    <xf numFmtId="165" fontId="23" fillId="0" borderId="10" xfId="63" applyNumberFormat="1" applyFont="1" applyFill="1" applyBorder="1" applyAlignment="1" applyProtection="1">
      <alignment horizontal="center" vertical="center" wrapText="1"/>
      <protection/>
    </xf>
    <xf numFmtId="165" fontId="23" fillId="0" borderId="67" xfId="63" applyNumberFormat="1" applyFont="1" applyFill="1" applyBorder="1" applyAlignment="1" applyProtection="1">
      <alignment horizontal="center" vertical="center" wrapText="1"/>
      <protection/>
    </xf>
    <xf numFmtId="165" fontId="18" fillId="35" borderId="12" xfId="63" applyNumberFormat="1" applyFont="1" applyFill="1" applyBorder="1" applyAlignment="1" applyProtection="1">
      <alignment horizontal="center" vertical="center" wrapText="1"/>
      <protection/>
    </xf>
    <xf numFmtId="165" fontId="18" fillId="35" borderId="0" xfId="63" applyNumberFormat="1" applyFont="1" applyFill="1" applyBorder="1" applyAlignment="1" applyProtection="1">
      <alignment horizontal="center" vertical="center" wrapText="1"/>
      <protection/>
    </xf>
    <xf numFmtId="165" fontId="18" fillId="35" borderId="29" xfId="63" applyNumberFormat="1" applyFont="1" applyFill="1" applyBorder="1" applyAlignment="1" applyProtection="1">
      <alignment horizontal="center" vertical="center" wrapText="1"/>
      <protection/>
    </xf>
    <xf numFmtId="165" fontId="18" fillId="0" borderId="36" xfId="63" applyNumberFormat="1" applyFont="1" applyFill="1" applyBorder="1" applyAlignment="1" applyProtection="1">
      <alignment horizontal="center" vertical="center"/>
      <protection/>
    </xf>
    <xf numFmtId="165" fontId="18" fillId="0" borderId="51" xfId="63" applyNumberFormat="1" applyFont="1" applyFill="1" applyBorder="1" applyAlignment="1" applyProtection="1">
      <alignment horizontal="center" vertical="center"/>
      <protection/>
    </xf>
    <xf numFmtId="165" fontId="23" fillId="35" borderId="35" xfId="63" applyNumberFormat="1" applyFont="1" applyFill="1" applyBorder="1" applyAlignment="1" applyProtection="1">
      <alignment horizontal="center" vertical="center"/>
      <protection/>
    </xf>
    <xf numFmtId="165" fontId="23" fillId="35" borderId="28" xfId="63" applyNumberFormat="1" applyFont="1" applyFill="1" applyBorder="1" applyAlignment="1" applyProtection="1">
      <alignment horizontal="center" vertical="center"/>
      <protection/>
    </xf>
    <xf numFmtId="165" fontId="26" fillId="35" borderId="53" xfId="0" applyNumberFormat="1" applyFont="1" applyFill="1" applyBorder="1" applyAlignment="1">
      <alignment horizontal="center" vertical="center"/>
    </xf>
    <xf numFmtId="165" fontId="26" fillId="35" borderId="55" xfId="0" applyNumberFormat="1" applyFont="1" applyFill="1" applyBorder="1" applyAlignment="1">
      <alignment horizontal="center" vertical="center"/>
    </xf>
    <xf numFmtId="0" fontId="18" fillId="35" borderId="21" xfId="0" applyFont="1" applyFill="1" applyBorder="1" applyAlignment="1">
      <alignment horizontal="center" vertical="center" wrapText="1"/>
    </xf>
    <xf numFmtId="0" fontId="18" fillId="35" borderId="18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165" fontId="18" fillId="0" borderId="51" xfId="63" applyNumberFormat="1" applyFont="1" applyFill="1" applyBorder="1" applyAlignment="1" applyProtection="1">
      <alignment horizontal="center" vertical="center" wrapText="1"/>
      <protection/>
    </xf>
    <xf numFmtId="165" fontId="18" fillId="35" borderId="51" xfId="63" applyNumberFormat="1" applyFont="1" applyFill="1" applyBorder="1" applyAlignment="1" applyProtection="1">
      <alignment horizontal="center" vertical="center" wrapText="1"/>
      <protection/>
    </xf>
    <xf numFmtId="165" fontId="18" fillId="0" borderId="54" xfId="63" applyNumberFormat="1" applyFont="1" applyFill="1" applyBorder="1" applyAlignment="1" applyProtection="1">
      <alignment horizontal="center" vertical="center"/>
      <protection/>
    </xf>
    <xf numFmtId="0" fontId="18" fillId="35" borderId="35" xfId="0" applyFont="1" applyFill="1" applyBorder="1" applyAlignment="1">
      <alignment horizontal="center" vertical="center" wrapText="1"/>
    </xf>
    <xf numFmtId="0" fontId="18" fillId="35" borderId="28" xfId="0" applyFont="1" applyFill="1" applyBorder="1" applyAlignment="1">
      <alignment horizontal="center" vertical="center" wrapText="1"/>
    </xf>
    <xf numFmtId="0" fontId="18" fillId="35" borderId="54" xfId="0" applyFont="1" applyFill="1" applyBorder="1" applyAlignment="1">
      <alignment horizontal="center" vertical="center" wrapText="1"/>
    </xf>
    <xf numFmtId="0" fontId="18" fillId="35" borderId="30" xfId="0" applyFont="1" applyFill="1" applyBorder="1" applyAlignment="1">
      <alignment horizontal="center" vertical="center" wrapText="1"/>
    </xf>
    <xf numFmtId="0" fontId="23" fillId="35" borderId="35" xfId="0" applyFont="1" applyFill="1" applyBorder="1" applyAlignment="1">
      <alignment horizontal="center" vertical="center" wrapText="1"/>
    </xf>
    <xf numFmtId="0" fontId="23" fillId="35" borderId="34" xfId="0" applyFont="1" applyFill="1" applyBorder="1" applyAlignment="1">
      <alignment horizontal="center" vertical="center" wrapText="1"/>
    </xf>
    <xf numFmtId="0" fontId="23" fillId="35" borderId="28" xfId="0" applyFont="1" applyFill="1" applyBorder="1" applyAlignment="1">
      <alignment horizontal="center" vertical="center" wrapText="1"/>
    </xf>
    <xf numFmtId="0" fontId="23" fillId="35" borderId="51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29" xfId="0" applyFont="1" applyFill="1" applyBorder="1" applyAlignment="1">
      <alignment horizontal="center" vertical="center" wrapText="1"/>
    </xf>
    <xf numFmtId="0" fontId="23" fillId="35" borderId="54" xfId="0" applyFont="1" applyFill="1" applyBorder="1" applyAlignment="1">
      <alignment horizontal="center" vertical="center" wrapText="1"/>
    </xf>
    <xf numFmtId="0" fontId="23" fillId="35" borderId="41" xfId="0" applyFont="1" applyFill="1" applyBorder="1" applyAlignment="1">
      <alignment horizontal="center" vertical="center" wrapText="1"/>
    </xf>
    <xf numFmtId="0" fontId="23" fillId="35" borderId="30" xfId="0" applyFont="1" applyFill="1" applyBorder="1" applyAlignment="1">
      <alignment horizontal="center" vertical="center" wrapText="1"/>
    </xf>
    <xf numFmtId="165" fontId="23" fillId="0" borderId="51" xfId="63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Font="1" applyFill="1" applyBorder="1" applyAlignment="1">
      <alignment horizontal="center" vertical="center"/>
    </xf>
    <xf numFmtId="165" fontId="2" fillId="0" borderId="53" xfId="63" applyNumberFormat="1" applyFont="1" applyFill="1" applyBorder="1" applyAlignment="1" applyProtection="1">
      <alignment horizontal="center" vertical="top" wrapText="1"/>
      <protection/>
    </xf>
    <xf numFmtId="165" fontId="2" fillId="0" borderId="31" xfId="63" applyNumberFormat="1" applyFont="1" applyFill="1" applyBorder="1" applyAlignment="1" applyProtection="1">
      <alignment horizontal="center" vertical="top" wrapText="1"/>
      <protection/>
    </xf>
    <xf numFmtId="165" fontId="2" fillId="0" borderId="55" xfId="63" applyNumberFormat="1" applyFont="1" applyFill="1" applyBorder="1" applyAlignment="1" applyProtection="1">
      <alignment horizontal="center" vertical="top" wrapText="1"/>
      <protection/>
    </xf>
    <xf numFmtId="0" fontId="26" fillId="0" borderId="1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18" fillId="35" borderId="20" xfId="0" applyFont="1" applyFill="1" applyBorder="1" applyAlignment="1">
      <alignment horizontal="center" vertical="center" wrapText="1"/>
    </xf>
    <xf numFmtId="165" fontId="23" fillId="0" borderId="51" xfId="63" applyNumberFormat="1" applyFont="1" applyFill="1" applyBorder="1" applyAlignment="1" applyProtection="1">
      <alignment horizontal="center" vertical="center"/>
      <protection/>
    </xf>
    <xf numFmtId="165" fontId="23" fillId="0" borderId="29" xfId="63" applyNumberFormat="1" applyFont="1" applyFill="1" applyBorder="1" applyAlignment="1" applyProtection="1">
      <alignment horizontal="center" vertical="center"/>
      <protection/>
    </xf>
    <xf numFmtId="165" fontId="18" fillId="0" borderId="54" xfId="63" applyNumberFormat="1" applyFont="1" applyFill="1" applyBorder="1" applyAlignment="1" applyProtection="1">
      <alignment horizontal="center" vertical="center" wrapText="1"/>
      <protection/>
    </xf>
    <xf numFmtId="165" fontId="18" fillId="0" borderId="30" xfId="63" applyNumberFormat="1" applyFont="1" applyFill="1" applyBorder="1" applyAlignment="1" applyProtection="1">
      <alignment horizontal="center" vertical="center" wrapText="1"/>
      <protection/>
    </xf>
    <xf numFmtId="165" fontId="23" fillId="35" borderId="53" xfId="63" applyNumberFormat="1" applyFont="1" applyFill="1" applyBorder="1" applyAlignment="1" applyProtection="1">
      <alignment horizontal="center" vertical="center" wrapText="1"/>
      <protection/>
    </xf>
    <xf numFmtId="165" fontId="23" fillId="35" borderId="55" xfId="63" applyNumberFormat="1" applyFont="1" applyFill="1" applyBorder="1" applyAlignment="1" applyProtection="1">
      <alignment horizontal="center" vertical="center" wrapText="1"/>
      <protection/>
    </xf>
    <xf numFmtId="0" fontId="23" fillId="35" borderId="24" xfId="0" applyFont="1" applyFill="1" applyBorder="1" applyAlignment="1">
      <alignment horizontal="center" vertical="top" wrapText="1"/>
    </xf>
    <xf numFmtId="0" fontId="23" fillId="35" borderId="23" xfId="0" applyFont="1" applyFill="1" applyBorder="1" applyAlignment="1">
      <alignment horizontal="center" vertical="top" wrapText="1"/>
    </xf>
    <xf numFmtId="165" fontId="23" fillId="35" borderId="51" xfId="63" applyNumberFormat="1" applyFont="1" applyFill="1" applyBorder="1" applyAlignment="1" applyProtection="1">
      <alignment horizontal="center" vertical="center" wrapText="1"/>
      <protection/>
    </xf>
    <xf numFmtId="165" fontId="23" fillId="35" borderId="29" xfId="63" applyNumberFormat="1" applyFont="1" applyFill="1" applyBorder="1" applyAlignment="1" applyProtection="1">
      <alignment horizontal="center" vertical="center" wrapText="1"/>
      <protection/>
    </xf>
    <xf numFmtId="165" fontId="23" fillId="0" borderId="35" xfId="63" applyNumberFormat="1" applyFont="1" applyFill="1" applyBorder="1" applyAlignment="1" applyProtection="1">
      <alignment horizontal="center" vertical="center" wrapText="1"/>
      <protection/>
    </xf>
    <xf numFmtId="165" fontId="18" fillId="35" borderId="42" xfId="0" applyNumberFormat="1" applyFont="1" applyFill="1" applyBorder="1" applyAlignment="1">
      <alignment horizontal="center" vertical="top" wrapText="1"/>
    </xf>
    <xf numFmtId="0" fontId="18" fillId="0" borderId="54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165" fontId="23" fillId="35" borderId="51" xfId="63" applyNumberFormat="1" applyFont="1" applyFill="1" applyBorder="1" applyAlignment="1" applyProtection="1">
      <alignment horizontal="center" vertical="center"/>
      <protection/>
    </xf>
    <xf numFmtId="165" fontId="23" fillId="35" borderId="29" xfId="63" applyNumberFormat="1" applyFont="1" applyFill="1" applyBorder="1" applyAlignment="1" applyProtection="1">
      <alignment horizontal="center" vertical="center"/>
      <protection/>
    </xf>
    <xf numFmtId="0" fontId="18" fillId="0" borderId="41" xfId="0" applyFont="1" applyFill="1" applyBorder="1" applyAlignment="1">
      <alignment horizontal="center" vertical="center"/>
    </xf>
    <xf numFmtId="0" fontId="10" fillId="0" borderId="0" xfId="52" applyNumberFormat="1" applyFont="1" applyBorder="1" applyAlignment="1">
      <alignment horizontal="left" vertical="center" wrapText="1"/>
      <protection/>
    </xf>
    <xf numFmtId="0" fontId="18" fillId="0" borderId="42" xfId="52" applyFont="1" applyFill="1" applyBorder="1" applyAlignment="1">
      <alignment horizontal="left" vertical="center"/>
      <protection/>
    </xf>
    <xf numFmtId="49" fontId="18" fillId="0" borderId="42" xfId="52" applyNumberFormat="1" applyFont="1" applyFill="1" applyBorder="1" applyAlignment="1">
      <alignment horizontal="left" vertical="center"/>
      <protection/>
    </xf>
    <xf numFmtId="0" fontId="23" fillId="35" borderId="35" xfId="52" applyFont="1" applyFill="1" applyBorder="1" applyAlignment="1">
      <alignment horizontal="center" vertical="center"/>
      <protection/>
    </xf>
    <xf numFmtId="0" fontId="23" fillId="35" borderId="28" xfId="52" applyFont="1" applyFill="1" applyBorder="1" applyAlignment="1">
      <alignment horizontal="center" vertical="center"/>
      <protection/>
    </xf>
    <xf numFmtId="0" fontId="23" fillId="35" borderId="51" xfId="52" applyFont="1" applyFill="1" applyBorder="1" applyAlignment="1">
      <alignment horizontal="center" vertical="center"/>
      <protection/>
    </xf>
    <xf numFmtId="0" fontId="23" fillId="35" borderId="29" xfId="52" applyFont="1" applyFill="1" applyBorder="1" applyAlignment="1">
      <alignment horizontal="center" vertical="center"/>
      <protection/>
    </xf>
    <xf numFmtId="0" fontId="23" fillId="35" borderId="54" xfId="52" applyFont="1" applyFill="1" applyBorder="1" applyAlignment="1">
      <alignment horizontal="center" vertical="center"/>
      <protection/>
    </xf>
    <xf numFmtId="0" fontId="23" fillId="35" borderId="30" xfId="52" applyFont="1" applyFill="1" applyBorder="1" applyAlignment="1">
      <alignment horizontal="center" vertical="center"/>
      <protection/>
    </xf>
    <xf numFmtId="0" fontId="23" fillId="35" borderId="63" xfId="52" applyFont="1" applyFill="1" applyBorder="1" applyAlignment="1">
      <alignment horizontal="center" vertical="center" wrapText="1"/>
      <protection/>
    </xf>
    <xf numFmtId="0" fontId="23" fillId="35" borderId="39" xfId="52" applyFont="1" applyFill="1" applyBorder="1" applyAlignment="1">
      <alignment horizontal="center" vertical="center" wrapText="1"/>
      <protection/>
    </xf>
    <xf numFmtId="0" fontId="23" fillId="35" borderId="52" xfId="52" applyFont="1" applyFill="1" applyBorder="1" applyAlignment="1">
      <alignment horizontal="center" vertical="center" wrapText="1"/>
      <protection/>
    </xf>
    <xf numFmtId="2" fontId="13" fillId="0" borderId="42" xfId="52" applyNumberFormat="1" applyFont="1" applyFill="1" applyBorder="1" applyAlignment="1">
      <alignment horizontal="center"/>
      <protection/>
    </xf>
    <xf numFmtId="2" fontId="23" fillId="0" borderId="52" xfId="52" applyNumberFormat="1" applyFont="1" applyFill="1" applyBorder="1" applyAlignment="1">
      <alignment horizontal="center" vertical="center" wrapText="1"/>
      <protection/>
    </xf>
    <xf numFmtId="2" fontId="23" fillId="35" borderId="52" xfId="52" applyNumberFormat="1" applyFont="1" applyFill="1" applyBorder="1" applyAlignment="1">
      <alignment horizontal="center" vertical="center" wrapText="1"/>
      <protection/>
    </xf>
    <xf numFmtId="0" fontId="13" fillId="0" borderId="53" xfId="52" applyFont="1" applyFill="1" applyBorder="1" applyAlignment="1">
      <alignment horizontal="center"/>
      <protection/>
    </xf>
    <xf numFmtId="0" fontId="13" fillId="0" borderId="55" xfId="52" applyFont="1" applyFill="1" applyBorder="1" applyAlignment="1">
      <alignment horizontal="center"/>
      <protection/>
    </xf>
    <xf numFmtId="2" fontId="13" fillId="0" borderId="53" xfId="52" applyNumberFormat="1" applyFont="1" applyFill="1" applyBorder="1" applyAlignment="1">
      <alignment horizontal="center"/>
      <protection/>
    </xf>
    <xf numFmtId="2" fontId="13" fillId="0" borderId="55" xfId="52" applyNumberFormat="1" applyFont="1" applyFill="1" applyBorder="1" applyAlignment="1">
      <alignment horizontal="center"/>
      <protection/>
    </xf>
    <xf numFmtId="10" fontId="23" fillId="0" borderId="42" xfId="55" applyNumberFormat="1" applyFont="1" applyFill="1" applyBorder="1" applyAlignment="1">
      <alignment horizontal="right" vertical="center"/>
    </xf>
    <xf numFmtId="10" fontId="18" fillId="0" borderId="42" xfId="55" applyNumberFormat="1" applyFont="1" applyFill="1" applyBorder="1" applyAlignment="1">
      <alignment horizontal="right" vertical="center"/>
    </xf>
    <xf numFmtId="0" fontId="19" fillId="0" borderId="0" xfId="52" applyFont="1" applyFill="1" applyAlignment="1">
      <alignment horizontal="left" indent="7"/>
      <protection/>
    </xf>
    <xf numFmtId="0" fontId="23" fillId="35" borderId="90" xfId="52" applyFont="1" applyFill="1" applyBorder="1" applyAlignment="1">
      <alignment horizontal="left" vertical="center" wrapText="1"/>
      <protection/>
    </xf>
    <xf numFmtId="0" fontId="23" fillId="35" borderId="91" xfId="52" applyFont="1" applyFill="1" applyBorder="1" applyAlignment="1">
      <alignment horizontal="left" vertical="center" wrapText="1"/>
      <protection/>
    </xf>
    <xf numFmtId="0" fontId="23" fillId="0" borderId="31" xfId="52" applyFont="1" applyFill="1" applyBorder="1" applyAlignment="1">
      <alignment horizontal="left" vertical="center"/>
      <protection/>
    </xf>
    <xf numFmtId="164" fontId="18" fillId="0" borderId="42" xfId="52" applyNumberFormat="1" applyFont="1" applyFill="1" applyBorder="1" applyAlignment="1">
      <alignment horizontal="center" vertical="center"/>
      <protection/>
    </xf>
    <xf numFmtId="165" fontId="0" fillId="0" borderId="42" xfId="59" applyFont="1" applyBorder="1" applyAlignment="1">
      <alignment horizontal="center"/>
    </xf>
    <xf numFmtId="0" fontId="23" fillId="0" borderId="42" xfId="52" applyFont="1" applyFill="1" applyBorder="1" applyAlignment="1">
      <alignment horizontal="left" vertical="center" wrapText="1"/>
      <protection/>
    </xf>
    <xf numFmtId="0" fontId="18" fillId="0" borderId="53" xfId="52" applyFont="1" applyFill="1" applyBorder="1" applyAlignment="1">
      <alignment horizontal="left" vertical="center" wrapText="1"/>
      <protection/>
    </xf>
    <xf numFmtId="0" fontId="18" fillId="0" borderId="55" xfId="52" applyFont="1" applyFill="1" applyBorder="1" applyAlignment="1">
      <alignment horizontal="left" vertical="center" wrapText="1"/>
      <protection/>
    </xf>
    <xf numFmtId="0" fontId="23" fillId="35" borderId="54" xfId="52" applyFont="1" applyFill="1" applyBorder="1" applyAlignment="1">
      <alignment horizontal="left" vertical="center" wrapText="1"/>
      <protection/>
    </xf>
    <xf numFmtId="0" fontId="23" fillId="35" borderId="41" xfId="52" applyFont="1" applyFill="1" applyBorder="1" applyAlignment="1">
      <alignment horizontal="left" vertical="center" wrapText="1"/>
      <protection/>
    </xf>
    <xf numFmtId="0" fontId="23" fillId="35" borderId="30" xfId="52" applyFont="1" applyFill="1" applyBorder="1" applyAlignment="1">
      <alignment horizontal="left" vertical="center" wrapText="1"/>
      <protection/>
    </xf>
    <xf numFmtId="49" fontId="23" fillId="35" borderId="53" xfId="52" applyNumberFormat="1" applyFont="1" applyFill="1" applyBorder="1" applyAlignment="1">
      <alignment horizontal="left" vertical="center" wrapText="1"/>
      <protection/>
    </xf>
    <xf numFmtId="49" fontId="23" fillId="35" borderId="55" xfId="52" applyNumberFormat="1" applyFont="1" applyFill="1" applyBorder="1" applyAlignment="1">
      <alignment horizontal="left" vertical="center" wrapText="1"/>
      <protection/>
    </xf>
    <xf numFmtId="0" fontId="23" fillId="35" borderId="53" xfId="52" applyFont="1" applyFill="1" applyBorder="1" applyAlignment="1">
      <alignment horizontal="center" vertical="center"/>
      <protection/>
    </xf>
    <xf numFmtId="0" fontId="23" fillId="35" borderId="55" xfId="52" applyFont="1" applyFill="1" applyBorder="1" applyAlignment="1">
      <alignment horizontal="center" vertical="center"/>
      <protection/>
    </xf>
    <xf numFmtId="0" fontId="23" fillId="0" borderId="53" xfId="52" applyFont="1" applyFill="1" applyBorder="1" applyAlignment="1">
      <alignment horizontal="center" vertical="center" wrapText="1"/>
      <protection/>
    </xf>
    <xf numFmtId="0" fontId="23" fillId="0" borderId="31" xfId="52" applyFont="1" applyFill="1" applyBorder="1" applyAlignment="1">
      <alignment horizontal="center" vertical="center" wrapText="1"/>
      <protection/>
    </xf>
    <xf numFmtId="0" fontId="23" fillId="0" borderId="55" xfId="52" applyFont="1" applyFill="1" applyBorder="1" applyAlignment="1">
      <alignment horizontal="center" vertical="center" wrapText="1"/>
      <protection/>
    </xf>
    <xf numFmtId="0" fontId="23" fillId="0" borderId="42" xfId="48" applyFont="1" applyBorder="1" applyAlignment="1">
      <alignment horizontal="center" vertical="center" wrapText="1"/>
      <protection/>
    </xf>
    <xf numFmtId="0" fontId="26" fillId="0" borderId="0" xfId="52" applyFont="1" applyFill="1" applyAlignment="1">
      <alignment horizontal="left"/>
      <protection/>
    </xf>
    <xf numFmtId="0" fontId="26" fillId="0" borderId="0" xfId="52" applyFont="1" applyFill="1" applyBorder="1" applyAlignment="1">
      <alignment horizontal="left"/>
      <protection/>
    </xf>
    <xf numFmtId="164" fontId="18" fillId="0" borderId="53" xfId="52" applyNumberFormat="1" applyFont="1" applyFill="1" applyBorder="1" applyAlignment="1">
      <alignment horizontal="center" vertical="center"/>
      <protection/>
    </xf>
    <xf numFmtId="164" fontId="18" fillId="0" borderId="55" xfId="52" applyNumberFormat="1" applyFont="1" applyFill="1" applyBorder="1" applyAlignment="1">
      <alignment horizontal="center" vertical="center"/>
      <protection/>
    </xf>
    <xf numFmtId="0" fontId="19" fillId="0" borderId="0" xfId="52" applyFont="1" applyFill="1" applyAlignment="1">
      <alignment horizontal="center"/>
      <protection/>
    </xf>
    <xf numFmtId="49" fontId="23" fillId="0" borderId="42" xfId="52" applyNumberFormat="1" applyFont="1" applyFill="1" applyBorder="1" applyAlignment="1">
      <alignment horizontal="center" vertical="center" wrapText="1"/>
      <protection/>
    </xf>
    <xf numFmtId="0" fontId="23" fillId="0" borderId="52" xfId="52" applyFont="1" applyFill="1" applyBorder="1" applyAlignment="1">
      <alignment horizontal="center" vertical="center"/>
      <protection/>
    </xf>
    <xf numFmtId="2" fontId="7" fillId="0" borderId="53" xfId="48" applyNumberFormat="1" applyFont="1" applyBorder="1" applyAlignment="1">
      <alignment horizontal="center" vertical="center"/>
      <protection/>
    </xf>
    <xf numFmtId="2" fontId="7" fillId="0" borderId="55" xfId="48" applyNumberFormat="1" applyFont="1" applyBorder="1" applyAlignment="1">
      <alignment horizontal="center" vertical="center"/>
      <protection/>
    </xf>
    <xf numFmtId="164" fontId="23" fillId="0" borderId="53" xfId="52" applyNumberFormat="1" applyFont="1" applyFill="1" applyBorder="1" applyAlignment="1">
      <alignment horizontal="center" vertical="center"/>
      <protection/>
    </xf>
    <xf numFmtId="164" fontId="23" fillId="0" borderId="55" xfId="52" applyNumberFormat="1" applyFont="1" applyFill="1" applyBorder="1" applyAlignment="1">
      <alignment horizontal="center" vertical="center"/>
      <protection/>
    </xf>
    <xf numFmtId="0" fontId="37" fillId="35" borderId="53" xfId="52" applyFont="1" applyFill="1" applyBorder="1" applyAlignment="1">
      <alignment horizontal="center" vertical="center" wrapText="1"/>
      <protection/>
    </xf>
    <xf numFmtId="0" fontId="37" fillId="35" borderId="55" xfId="52" applyFont="1" applyFill="1" applyBorder="1" applyAlignment="1">
      <alignment horizontal="center" vertical="center" wrapText="1"/>
      <protection/>
    </xf>
    <xf numFmtId="0" fontId="37" fillId="35" borderId="42" xfId="52" applyFont="1" applyFill="1" applyBorder="1" applyAlignment="1">
      <alignment horizontal="center" vertical="center" wrapText="1"/>
      <protection/>
    </xf>
    <xf numFmtId="0" fontId="23" fillId="35" borderId="34" xfId="52" applyFont="1" applyFill="1" applyBorder="1" applyAlignment="1">
      <alignment horizontal="center" vertical="center" wrapText="1"/>
      <protection/>
    </xf>
    <xf numFmtId="0" fontId="23" fillId="35" borderId="28" xfId="52" applyFont="1" applyFill="1" applyBorder="1" applyAlignment="1">
      <alignment horizontal="center" vertical="center" wrapText="1"/>
      <protection/>
    </xf>
    <xf numFmtId="0" fontId="23" fillId="35" borderId="0" xfId="52" applyFont="1" applyFill="1" applyBorder="1" applyAlignment="1">
      <alignment horizontal="center" vertical="center" wrapText="1"/>
      <protection/>
    </xf>
    <xf numFmtId="0" fontId="23" fillId="35" borderId="29" xfId="52" applyFont="1" applyFill="1" applyBorder="1" applyAlignment="1">
      <alignment horizontal="center" vertical="center" wrapText="1"/>
      <protection/>
    </xf>
    <xf numFmtId="0" fontId="23" fillId="35" borderId="41" xfId="52" applyFont="1" applyFill="1" applyBorder="1" applyAlignment="1">
      <alignment horizontal="center" vertical="center" wrapText="1"/>
      <protection/>
    </xf>
    <xf numFmtId="0" fontId="23" fillId="35" borderId="30" xfId="52" applyFont="1" applyFill="1" applyBorder="1" applyAlignment="1">
      <alignment horizontal="center" vertical="center" wrapText="1"/>
      <protection/>
    </xf>
    <xf numFmtId="0" fontId="23" fillId="35" borderId="51" xfId="52" applyFont="1" applyFill="1" applyBorder="1" applyAlignment="1">
      <alignment horizontal="center" vertical="center" wrapText="1"/>
      <protection/>
    </xf>
    <xf numFmtId="0" fontId="18" fillId="0" borderId="53" xfId="52" applyFont="1" applyFill="1" applyBorder="1" applyAlignment="1">
      <alignment horizontal="left" vertical="center"/>
      <protection/>
    </xf>
    <xf numFmtId="0" fontId="18" fillId="0" borderId="55" xfId="52" applyFont="1" applyFill="1" applyBorder="1" applyAlignment="1">
      <alignment horizontal="left" vertical="center"/>
      <protection/>
    </xf>
    <xf numFmtId="0" fontId="23" fillId="0" borderId="53" xfId="52" applyFont="1" applyFill="1" applyBorder="1" applyAlignment="1">
      <alignment horizontal="left" vertical="center"/>
      <protection/>
    </xf>
    <xf numFmtId="0" fontId="0" fillId="0" borderId="55" xfId="48" applyBorder="1">
      <alignment/>
      <protection/>
    </xf>
    <xf numFmtId="0" fontId="23" fillId="0" borderId="53" xfId="52" applyFont="1" applyFill="1" applyBorder="1" applyAlignment="1">
      <alignment horizontal="left" vertical="center" wrapText="1"/>
      <protection/>
    </xf>
    <xf numFmtId="0" fontId="23" fillId="0" borderId="55" xfId="52" applyFont="1" applyFill="1" applyBorder="1" applyAlignment="1">
      <alignment horizontal="left" vertical="center" wrapText="1"/>
      <protection/>
    </xf>
    <xf numFmtId="49" fontId="23" fillId="0" borderId="53" xfId="52" applyNumberFormat="1" applyFont="1" applyFill="1" applyBorder="1" applyAlignment="1">
      <alignment horizontal="left"/>
      <protection/>
    </xf>
    <xf numFmtId="49" fontId="23" fillId="0" borderId="55" xfId="52" applyNumberFormat="1" applyFont="1" applyFill="1" applyBorder="1" applyAlignment="1">
      <alignment horizontal="left"/>
      <protection/>
    </xf>
    <xf numFmtId="4" fontId="18" fillId="0" borderId="53" xfId="52" applyNumberFormat="1" applyFont="1" applyFill="1" applyBorder="1" applyAlignment="1">
      <alignment horizontal="right" vertical="center"/>
      <protection/>
    </xf>
    <xf numFmtId="4" fontId="18" fillId="0" borderId="55" xfId="52" applyNumberFormat="1" applyFont="1" applyFill="1" applyBorder="1" applyAlignment="1">
      <alignment horizontal="right" vertical="center"/>
      <protection/>
    </xf>
    <xf numFmtId="4" fontId="23" fillId="0" borderId="53" xfId="52" applyNumberFormat="1" applyFont="1" applyFill="1" applyBorder="1" applyAlignment="1">
      <alignment horizontal="right" vertical="center"/>
      <protection/>
    </xf>
    <xf numFmtId="4" fontId="23" fillId="0" borderId="55" xfId="52" applyNumberFormat="1" applyFont="1" applyFill="1" applyBorder="1" applyAlignment="1">
      <alignment horizontal="right" vertical="center"/>
      <protection/>
    </xf>
    <xf numFmtId="0" fontId="23" fillId="0" borderId="55" xfId="52" applyFont="1" applyFill="1" applyBorder="1" applyAlignment="1">
      <alignment horizontal="left" vertical="center"/>
      <protection/>
    </xf>
    <xf numFmtId="2" fontId="13" fillId="0" borderId="0" xfId="52" applyNumberFormat="1" applyFont="1" applyFill="1" applyBorder="1" applyAlignment="1">
      <alignment horizontal="left" vertical="center"/>
      <protection/>
    </xf>
    <xf numFmtId="49" fontId="23" fillId="0" borderId="42" xfId="52" applyNumberFormat="1" applyFont="1" applyFill="1" applyBorder="1" applyAlignment="1">
      <alignment horizontal="left" vertical="center"/>
      <protection/>
    </xf>
    <xf numFmtId="0" fontId="13" fillId="0" borderId="42" xfId="52" applyFont="1" applyFill="1" applyBorder="1" applyAlignment="1">
      <alignment horizontal="center"/>
      <protection/>
    </xf>
    <xf numFmtId="4" fontId="23" fillId="35" borderId="54" xfId="52" applyNumberFormat="1" applyFont="1" applyFill="1" applyBorder="1" applyAlignment="1">
      <alignment horizontal="center" vertical="center" wrapText="1"/>
      <protection/>
    </xf>
    <xf numFmtId="4" fontId="23" fillId="35" borderId="30" xfId="52" applyNumberFormat="1" applyFont="1" applyFill="1" applyBorder="1" applyAlignment="1">
      <alignment horizontal="center" vertical="center" wrapText="1"/>
      <protection/>
    </xf>
    <xf numFmtId="0" fontId="23" fillId="35" borderId="54" xfId="52" applyFont="1" applyFill="1" applyBorder="1" applyAlignment="1">
      <alignment horizontal="center" vertical="center" wrapText="1"/>
      <protection/>
    </xf>
    <xf numFmtId="0" fontId="23" fillId="35" borderId="31" xfId="52" applyFont="1" applyFill="1" applyBorder="1" applyAlignment="1">
      <alignment horizontal="center" vertical="center"/>
      <protection/>
    </xf>
    <xf numFmtId="0" fontId="23" fillId="35" borderId="34" xfId="52" applyFont="1" applyFill="1" applyBorder="1" applyAlignment="1">
      <alignment horizontal="center" vertical="center"/>
      <protection/>
    </xf>
    <xf numFmtId="0" fontId="23" fillId="35" borderId="41" xfId="52" applyFont="1" applyFill="1" applyBorder="1" applyAlignment="1">
      <alignment horizontal="center" vertical="center"/>
      <protection/>
    </xf>
    <xf numFmtId="165" fontId="0" fillId="0" borderId="42" xfId="59" applyFont="1" applyFill="1" applyBorder="1" applyAlignment="1">
      <alignment horizontal="center"/>
    </xf>
    <xf numFmtId="0" fontId="24" fillId="35" borderId="42" xfId="52" applyFont="1" applyFill="1" applyBorder="1" applyAlignment="1">
      <alignment horizontal="center" vertical="center" wrapText="1"/>
      <protection/>
    </xf>
    <xf numFmtId="0" fontId="24" fillId="35" borderId="34" xfId="52" applyFont="1" applyFill="1" applyBorder="1" applyAlignment="1">
      <alignment horizontal="center" vertical="center" wrapText="1"/>
      <protection/>
    </xf>
    <xf numFmtId="0" fontId="24" fillId="35" borderId="28" xfId="52" applyFont="1" applyFill="1" applyBorder="1" applyAlignment="1">
      <alignment horizontal="center" vertical="center" wrapText="1"/>
      <protection/>
    </xf>
    <xf numFmtId="0" fontId="24" fillId="35" borderId="0" xfId="52" applyFont="1" applyFill="1" applyBorder="1" applyAlignment="1">
      <alignment horizontal="center" vertical="center" wrapText="1"/>
      <protection/>
    </xf>
    <xf numFmtId="0" fontId="24" fillId="35" borderId="29" xfId="52" applyFont="1" applyFill="1" applyBorder="1" applyAlignment="1">
      <alignment horizontal="center" vertical="center" wrapText="1"/>
      <protection/>
    </xf>
    <xf numFmtId="0" fontId="24" fillId="35" borderId="41" xfId="52" applyFont="1" applyFill="1" applyBorder="1" applyAlignment="1">
      <alignment horizontal="center" vertical="center" wrapText="1"/>
      <protection/>
    </xf>
    <xf numFmtId="0" fontId="24" fillId="35" borderId="30" xfId="52" applyFont="1" applyFill="1" applyBorder="1" applyAlignment="1">
      <alignment horizontal="center" vertical="center" wrapText="1"/>
      <protection/>
    </xf>
    <xf numFmtId="0" fontId="23" fillId="0" borderId="42" xfId="52" applyFont="1" applyFill="1" applyBorder="1" applyAlignment="1">
      <alignment vertical="center"/>
      <protection/>
    </xf>
    <xf numFmtId="2" fontId="13" fillId="0" borderId="0" xfId="48" applyNumberFormat="1" applyFont="1" applyFill="1" applyBorder="1" applyAlignment="1">
      <alignment horizontal="left" vertical="center"/>
      <protection/>
    </xf>
    <xf numFmtId="0" fontId="13" fillId="0" borderId="0" xfId="48" applyFont="1" applyFill="1" applyBorder="1" applyAlignment="1">
      <alignment horizontal="center"/>
      <protection/>
    </xf>
    <xf numFmtId="165" fontId="0" fillId="0" borderId="53" xfId="59" applyFont="1" applyFill="1" applyBorder="1" applyAlignment="1">
      <alignment horizontal="center" vertical="center"/>
    </xf>
    <xf numFmtId="165" fontId="0" fillId="0" borderId="55" xfId="59" applyFont="1" applyFill="1" applyBorder="1" applyAlignment="1">
      <alignment horizontal="center" vertical="center"/>
    </xf>
    <xf numFmtId="165" fontId="7" fillId="0" borderId="53" xfId="59" applyFont="1" applyFill="1" applyBorder="1" applyAlignment="1">
      <alignment horizontal="right" vertical="center"/>
    </xf>
    <xf numFmtId="165" fontId="7" fillId="0" borderId="55" xfId="59" applyFont="1" applyFill="1" applyBorder="1" applyAlignment="1">
      <alignment horizontal="right" vertical="center"/>
    </xf>
    <xf numFmtId="0" fontId="18" fillId="0" borderId="42" xfId="52" applyFont="1" applyFill="1" applyBorder="1" applyAlignment="1">
      <alignment horizontal="left" vertical="center" wrapText="1"/>
      <protection/>
    </xf>
    <xf numFmtId="0" fontId="23" fillId="0" borderId="53" xfId="52" applyFont="1" applyFill="1" applyBorder="1" applyAlignment="1">
      <alignment vertical="center" wrapText="1"/>
      <protection/>
    </xf>
    <xf numFmtId="0" fontId="23" fillId="0" borderId="55" xfId="52" applyFont="1" applyFill="1" applyBorder="1" applyAlignment="1">
      <alignment vertical="center" wrapText="1"/>
      <protection/>
    </xf>
    <xf numFmtId="4" fontId="23" fillId="35" borderId="63" xfId="52" applyNumberFormat="1" applyFont="1" applyFill="1" applyBorder="1" applyAlignment="1">
      <alignment horizontal="center" vertical="center" wrapText="1"/>
      <protection/>
    </xf>
    <xf numFmtId="4" fontId="23" fillId="35" borderId="52" xfId="52" applyNumberFormat="1" applyFont="1" applyFill="1" applyBorder="1" applyAlignment="1">
      <alignment horizontal="center" vertical="center" wrapText="1"/>
      <protection/>
    </xf>
    <xf numFmtId="0" fontId="23" fillId="0" borderId="42" xfId="52" applyFont="1" applyFill="1" applyBorder="1" applyAlignment="1">
      <alignment horizontal="left" vertical="center"/>
      <protection/>
    </xf>
    <xf numFmtId="0" fontId="24" fillId="0" borderId="55" xfId="52" applyFont="1" applyFill="1" applyBorder="1" applyAlignment="1">
      <alignment horizontal="left" vertical="center" wrapText="1"/>
      <protection/>
    </xf>
    <xf numFmtId="0" fontId="23" fillId="35" borderId="35" xfId="52" applyFont="1" applyFill="1" applyBorder="1" applyAlignment="1">
      <alignment horizontal="center" vertical="center" wrapText="1"/>
      <protection/>
    </xf>
    <xf numFmtId="0" fontId="23" fillId="35" borderId="53" xfId="52" applyFont="1" applyFill="1" applyBorder="1" applyAlignment="1">
      <alignment horizontal="center" vertical="center" wrapText="1"/>
      <protection/>
    </xf>
    <xf numFmtId="0" fontId="23" fillId="35" borderId="55" xfId="52" applyFont="1" applyFill="1" applyBorder="1" applyAlignment="1">
      <alignment horizontal="center" vertical="center" wrapText="1"/>
      <protection/>
    </xf>
    <xf numFmtId="0" fontId="10" fillId="0" borderId="0" xfId="52" applyNumberFormat="1" applyFont="1" applyFill="1" applyBorder="1" applyAlignment="1">
      <alignment horizontal="left" vertical="top" wrapText="1"/>
      <protection/>
    </xf>
    <xf numFmtId="165" fontId="0" fillId="0" borderId="53" xfId="59" applyFont="1" applyFill="1" applyBorder="1" applyAlignment="1">
      <alignment horizontal="center"/>
    </xf>
    <xf numFmtId="165" fontId="0" fillId="0" borderId="55" xfId="59" applyFont="1" applyFill="1" applyBorder="1" applyAlignment="1">
      <alignment horizontal="center"/>
    </xf>
    <xf numFmtId="0" fontId="91" fillId="0" borderId="0" xfId="48" applyFont="1" applyAlignment="1">
      <alignment horizontal="center" readingOrder="2"/>
      <protection/>
    </xf>
    <xf numFmtId="0" fontId="10" fillId="0" borderId="0" xfId="52" applyNumberFormat="1" applyFont="1" applyFill="1" applyBorder="1" applyAlignment="1">
      <alignment vertical="top" wrapText="1"/>
      <protection/>
    </xf>
    <xf numFmtId="2" fontId="19" fillId="0" borderId="0" xfId="48" applyNumberFormat="1" applyFont="1" applyFill="1" applyBorder="1" applyAlignment="1">
      <alignment horizontal="left"/>
      <protection/>
    </xf>
    <xf numFmtId="0" fontId="90" fillId="0" borderId="0" xfId="48" applyFont="1" applyAlignment="1">
      <alignment horizontal="center" readingOrder="2"/>
      <protection/>
    </xf>
    <xf numFmtId="49" fontId="23" fillId="35" borderId="42" xfId="52" applyNumberFormat="1" applyFont="1" applyFill="1" applyBorder="1" applyAlignment="1">
      <alignment horizontal="center" vertical="center" wrapText="1"/>
      <protection/>
    </xf>
    <xf numFmtId="0" fontId="23" fillId="35" borderId="52" xfId="52" applyFont="1" applyFill="1" applyBorder="1" applyAlignment="1">
      <alignment horizontal="center" vertical="center"/>
      <protection/>
    </xf>
    <xf numFmtId="0" fontId="23" fillId="35" borderId="42" xfId="48" applyFont="1" applyFill="1" applyBorder="1" applyAlignment="1">
      <alignment horizontal="center" vertical="center" wrapText="1"/>
      <protection/>
    </xf>
    <xf numFmtId="0" fontId="23" fillId="35" borderId="31" xfId="52" applyFont="1" applyFill="1" applyBorder="1" applyAlignment="1">
      <alignment horizontal="center" vertical="center" wrapText="1"/>
      <protection/>
    </xf>
    <xf numFmtId="4" fontId="23" fillId="35" borderId="53" xfId="52" applyNumberFormat="1" applyFont="1" applyFill="1" applyBorder="1" applyAlignment="1">
      <alignment horizontal="center" vertical="center"/>
      <protection/>
    </xf>
    <xf numFmtId="4" fontId="23" fillId="35" borderId="31" xfId="52" applyNumberFormat="1" applyFont="1" applyFill="1" applyBorder="1" applyAlignment="1">
      <alignment horizontal="center" vertical="center"/>
      <protection/>
    </xf>
    <xf numFmtId="4" fontId="23" fillId="35" borderId="55" xfId="52" applyNumberFormat="1" applyFont="1" applyFill="1" applyBorder="1" applyAlignment="1">
      <alignment horizontal="center" vertical="center"/>
      <protection/>
    </xf>
    <xf numFmtId="10" fontId="23" fillId="35" borderId="53" xfId="55" applyNumberFormat="1" applyFont="1" applyFill="1" applyBorder="1" applyAlignment="1">
      <alignment horizontal="center" vertical="center" wrapText="1"/>
    </xf>
    <xf numFmtId="10" fontId="23" fillId="35" borderId="31" xfId="55" applyNumberFormat="1" applyFont="1" applyFill="1" applyBorder="1" applyAlignment="1">
      <alignment horizontal="center" vertical="center" wrapText="1"/>
    </xf>
    <xf numFmtId="10" fontId="23" fillId="35" borderId="55" xfId="55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/>
    </xf>
    <xf numFmtId="0" fontId="19" fillId="0" borderId="34" xfId="50" applyFont="1" applyFill="1" applyBorder="1" applyAlignment="1">
      <alignment horizontal="center" vertical="center"/>
      <protection/>
    </xf>
    <xf numFmtId="0" fontId="19" fillId="0" borderId="28" xfId="50" applyFont="1" applyFill="1" applyBorder="1" applyAlignment="1">
      <alignment horizontal="center" vertical="center"/>
      <protection/>
    </xf>
    <xf numFmtId="0" fontId="19" fillId="0" borderId="41" xfId="50" applyFont="1" applyFill="1" applyBorder="1" applyAlignment="1">
      <alignment horizontal="center" vertical="center"/>
      <protection/>
    </xf>
    <xf numFmtId="0" fontId="19" fillId="0" borderId="30" xfId="50" applyFont="1" applyFill="1" applyBorder="1" applyAlignment="1">
      <alignment horizontal="center" vertical="center"/>
      <protection/>
    </xf>
    <xf numFmtId="0" fontId="19" fillId="0" borderId="35" xfId="50" applyFont="1" applyFill="1" applyBorder="1" applyAlignment="1">
      <alignment horizontal="center" vertical="center" wrapText="1"/>
      <protection/>
    </xf>
    <xf numFmtId="0" fontId="19" fillId="0" borderId="28" xfId="50" applyFont="1" applyFill="1" applyBorder="1" applyAlignment="1">
      <alignment horizontal="center" vertical="center" wrapText="1"/>
      <protection/>
    </xf>
    <xf numFmtId="0" fontId="19" fillId="0" borderId="54" xfId="50" applyFont="1" applyFill="1" applyBorder="1" applyAlignment="1">
      <alignment horizontal="center" vertical="center" wrapText="1"/>
      <protection/>
    </xf>
    <xf numFmtId="0" fontId="19" fillId="0" borderId="30" xfId="50" applyFont="1" applyFill="1" applyBorder="1" applyAlignment="1">
      <alignment horizontal="center" vertical="center" wrapText="1"/>
      <protection/>
    </xf>
    <xf numFmtId="0" fontId="19" fillId="0" borderId="42" xfId="50" applyFont="1" applyFill="1" applyBorder="1" applyAlignment="1">
      <alignment horizontal="center" vertical="center"/>
      <protection/>
    </xf>
    <xf numFmtId="0" fontId="18" fillId="0" borderId="35" xfId="50" applyFont="1" applyBorder="1" applyAlignment="1">
      <alignment horizontal="center" vertical="center" wrapText="1"/>
      <protection/>
    </xf>
    <xf numFmtId="0" fontId="18" fillId="0" borderId="34" xfId="50" applyFont="1" applyBorder="1" applyAlignment="1">
      <alignment horizontal="center" vertical="center" wrapText="1"/>
      <protection/>
    </xf>
    <xf numFmtId="0" fontId="18" fillId="0" borderId="28" xfId="50" applyFont="1" applyBorder="1" applyAlignment="1">
      <alignment horizontal="center" vertical="center" wrapText="1"/>
      <protection/>
    </xf>
    <xf numFmtId="0" fontId="18" fillId="0" borderId="54" xfId="50" applyFont="1" applyBorder="1" applyAlignment="1">
      <alignment horizontal="center" vertical="center" wrapText="1"/>
      <protection/>
    </xf>
    <xf numFmtId="0" fontId="18" fillId="0" borderId="41" xfId="50" applyFont="1" applyBorder="1" applyAlignment="1">
      <alignment horizontal="center" vertical="center" wrapText="1"/>
      <protection/>
    </xf>
    <xf numFmtId="0" fontId="18" fillId="0" borderId="30" xfId="50" applyFont="1" applyBorder="1" applyAlignment="1">
      <alignment horizontal="center" vertical="center" wrapText="1"/>
      <protection/>
    </xf>
    <xf numFmtId="166" fontId="19" fillId="0" borderId="42" xfId="50" applyNumberFormat="1" applyFont="1" applyFill="1" applyBorder="1" applyAlignment="1">
      <alignment horizontal="center" vertical="center"/>
      <protection/>
    </xf>
    <xf numFmtId="166" fontId="19" fillId="0" borderId="42" xfId="50" applyNumberFormat="1" applyFont="1" applyFill="1" applyBorder="1" applyAlignment="1">
      <alignment horizontal="center" vertical="center" wrapText="1"/>
      <protection/>
    </xf>
    <xf numFmtId="0" fontId="19" fillId="0" borderId="34" xfId="50" applyFont="1" applyFill="1" applyBorder="1" applyAlignment="1">
      <alignment horizontal="left" vertical="center"/>
      <protection/>
    </xf>
    <xf numFmtId="165" fontId="19" fillId="0" borderId="35" xfId="50" applyNumberFormat="1" applyFont="1" applyFill="1" applyBorder="1" applyAlignment="1">
      <alignment horizontal="center" vertical="center"/>
      <protection/>
    </xf>
    <xf numFmtId="165" fontId="19" fillId="0" borderId="28" xfId="50" applyNumberFormat="1" applyFont="1" applyFill="1" applyBorder="1" applyAlignment="1">
      <alignment horizontal="center" vertical="center"/>
      <protection/>
    </xf>
    <xf numFmtId="165" fontId="19" fillId="0" borderId="34" xfId="50" applyNumberFormat="1" applyFont="1" applyFill="1" applyBorder="1" applyAlignment="1">
      <alignment horizontal="center" vertical="center"/>
      <protection/>
    </xf>
    <xf numFmtId="165" fontId="18" fillId="0" borderId="35" xfId="50" applyNumberFormat="1" applyFont="1" applyBorder="1" applyAlignment="1">
      <alignment horizontal="center" vertical="center"/>
      <protection/>
    </xf>
    <xf numFmtId="165" fontId="18" fillId="0" borderId="34" xfId="50" applyNumberFormat="1" applyFont="1" applyBorder="1" applyAlignment="1">
      <alignment horizontal="center" vertical="center"/>
      <protection/>
    </xf>
    <xf numFmtId="165" fontId="18" fillId="0" borderId="28" xfId="50" applyNumberFormat="1" applyFont="1" applyBorder="1" applyAlignment="1">
      <alignment horizontal="center" vertical="center"/>
      <protection/>
    </xf>
    <xf numFmtId="0" fontId="19" fillId="0" borderId="0" xfId="50" applyFont="1" applyFill="1" applyAlignment="1">
      <alignment horizontal="left" vertical="center"/>
      <protection/>
    </xf>
    <xf numFmtId="0" fontId="19" fillId="0" borderId="51" xfId="50" applyFont="1" applyFill="1" applyBorder="1" applyAlignment="1">
      <alignment horizontal="center" vertical="center"/>
      <protection/>
    </xf>
    <xf numFmtId="0" fontId="19" fillId="0" borderId="29" xfId="50" applyFont="1" applyFill="1" applyBorder="1" applyAlignment="1">
      <alignment horizontal="center" vertical="center"/>
      <protection/>
    </xf>
    <xf numFmtId="166" fontId="19" fillId="0" borderId="51" xfId="50" applyNumberFormat="1" applyFont="1" applyFill="1" applyBorder="1" applyAlignment="1">
      <alignment horizontal="center" vertical="center"/>
      <protection/>
    </xf>
    <xf numFmtId="166" fontId="19" fillId="0" borderId="0" xfId="50" applyNumberFormat="1" applyFont="1" applyFill="1" applyBorder="1" applyAlignment="1">
      <alignment horizontal="center" vertical="center"/>
      <protection/>
    </xf>
    <xf numFmtId="166" fontId="19" fillId="0" borderId="29" xfId="50" applyNumberFormat="1" applyFont="1" applyFill="1" applyBorder="1" applyAlignment="1">
      <alignment horizontal="center" vertical="center"/>
      <protection/>
    </xf>
    <xf numFmtId="0" fontId="18" fillId="0" borderId="51" xfId="50" applyFont="1" applyBorder="1" applyAlignment="1">
      <alignment horizontal="center" vertical="center"/>
      <protection/>
    </xf>
    <xf numFmtId="0" fontId="18" fillId="0" borderId="0" xfId="50" applyFont="1" applyBorder="1" applyAlignment="1">
      <alignment horizontal="center" vertical="center"/>
      <protection/>
    </xf>
    <xf numFmtId="165" fontId="18" fillId="0" borderId="51" xfId="50" applyNumberFormat="1" applyFont="1" applyBorder="1" applyAlignment="1">
      <alignment horizontal="center" vertical="center"/>
      <protection/>
    </xf>
    <xf numFmtId="165" fontId="18" fillId="0" borderId="0" xfId="50" applyNumberFormat="1" applyFont="1" applyBorder="1" applyAlignment="1">
      <alignment horizontal="center" vertical="center"/>
      <protection/>
    </xf>
    <xf numFmtId="165" fontId="18" fillId="0" borderId="29" xfId="50" applyNumberFormat="1" applyFont="1" applyBorder="1" applyAlignment="1">
      <alignment horizontal="center" vertical="center"/>
      <protection/>
    </xf>
    <xf numFmtId="0" fontId="19" fillId="0" borderId="41" xfId="50" applyFont="1" applyFill="1" applyBorder="1" applyAlignment="1">
      <alignment horizontal="left" vertical="center"/>
      <protection/>
    </xf>
    <xf numFmtId="0" fontId="19" fillId="0" borderId="54" xfId="50" applyFont="1" applyFill="1" applyBorder="1" applyAlignment="1">
      <alignment horizontal="center" vertical="center"/>
      <protection/>
    </xf>
    <xf numFmtId="166" fontId="19" fillId="0" borderId="54" xfId="50" applyNumberFormat="1" applyFont="1" applyFill="1" applyBorder="1" applyAlignment="1">
      <alignment horizontal="center" vertical="center"/>
      <protection/>
    </xf>
    <xf numFmtId="166" fontId="19" fillId="0" borderId="41" xfId="50" applyNumberFormat="1" applyFont="1" applyFill="1" applyBorder="1" applyAlignment="1">
      <alignment horizontal="center" vertical="center"/>
      <protection/>
    </xf>
    <xf numFmtId="166" fontId="19" fillId="0" borderId="30" xfId="50" applyNumberFormat="1" applyFont="1" applyFill="1" applyBorder="1" applyAlignment="1">
      <alignment horizontal="center" vertical="center"/>
      <protection/>
    </xf>
    <xf numFmtId="0" fontId="18" fillId="0" borderId="54" xfId="50" applyFont="1" applyBorder="1" applyAlignment="1">
      <alignment horizontal="center" vertical="center"/>
      <protection/>
    </xf>
    <xf numFmtId="0" fontId="18" fillId="0" borderId="41" xfId="50" applyFont="1" applyBorder="1" applyAlignment="1">
      <alignment horizontal="center" vertical="center"/>
      <protection/>
    </xf>
    <xf numFmtId="165" fontId="18" fillId="0" borderId="54" xfId="50" applyNumberFormat="1" applyFont="1" applyBorder="1" applyAlignment="1">
      <alignment horizontal="center" vertical="center"/>
      <protection/>
    </xf>
    <xf numFmtId="165" fontId="18" fillId="0" borderId="41" xfId="50" applyNumberFormat="1" applyFont="1" applyBorder="1" applyAlignment="1">
      <alignment horizontal="center" vertical="center"/>
      <protection/>
    </xf>
    <xf numFmtId="165" fontId="18" fillId="0" borderId="30" xfId="50" applyNumberFormat="1" applyFont="1" applyBorder="1" applyAlignment="1">
      <alignment horizontal="center" vertical="center"/>
      <protection/>
    </xf>
    <xf numFmtId="165" fontId="19" fillId="0" borderId="51" xfId="50" applyNumberFormat="1" applyFont="1" applyFill="1" applyBorder="1" applyAlignment="1">
      <alignment horizontal="center" vertical="center"/>
      <protection/>
    </xf>
    <xf numFmtId="165" fontId="19" fillId="0" borderId="29" xfId="50" applyNumberFormat="1" applyFont="1" applyFill="1" applyBorder="1" applyAlignment="1">
      <alignment horizontal="center" vertical="center"/>
      <protection/>
    </xf>
    <xf numFmtId="165" fontId="19" fillId="0" borderId="0" xfId="50" applyNumberFormat="1" applyFont="1" applyFill="1" applyBorder="1" applyAlignment="1">
      <alignment horizontal="center" vertical="center"/>
      <protection/>
    </xf>
    <xf numFmtId="165" fontId="19" fillId="0" borderId="54" xfId="50" applyNumberFormat="1" applyFont="1" applyFill="1" applyBorder="1" applyAlignment="1">
      <alignment horizontal="center" vertical="center"/>
      <protection/>
    </xf>
    <xf numFmtId="165" fontId="19" fillId="0" borderId="30" xfId="50" applyNumberFormat="1" applyFont="1" applyFill="1" applyBorder="1" applyAlignment="1">
      <alignment horizontal="center" vertical="center"/>
      <protection/>
    </xf>
    <xf numFmtId="165" fontId="19" fillId="0" borderId="41" xfId="50" applyNumberFormat="1" applyFont="1" applyFill="1" applyBorder="1" applyAlignment="1">
      <alignment horizontal="center" vertical="center"/>
      <protection/>
    </xf>
    <xf numFmtId="0" fontId="19" fillId="0" borderId="53" xfId="50" applyFont="1" applyFill="1" applyBorder="1" applyAlignment="1">
      <alignment horizontal="center" vertical="center"/>
      <protection/>
    </xf>
    <xf numFmtId="0" fontId="19" fillId="0" borderId="55" xfId="50" applyFont="1" applyFill="1" applyBorder="1" applyAlignment="1">
      <alignment horizontal="center" vertical="center"/>
      <protection/>
    </xf>
    <xf numFmtId="166" fontId="19" fillId="0" borderId="53" xfId="50" applyNumberFormat="1" applyFont="1" applyFill="1" applyBorder="1" applyAlignment="1">
      <alignment horizontal="center" vertical="center"/>
      <protection/>
    </xf>
    <xf numFmtId="166" fontId="19" fillId="0" borderId="31" xfId="50" applyNumberFormat="1" applyFont="1" applyFill="1" applyBorder="1" applyAlignment="1">
      <alignment horizontal="center" vertical="center"/>
      <protection/>
    </xf>
    <xf numFmtId="166" fontId="19" fillId="0" borderId="55" xfId="50" applyNumberFormat="1" applyFont="1" applyFill="1" applyBorder="1" applyAlignment="1">
      <alignment horizontal="center" vertical="center"/>
      <protection/>
    </xf>
    <xf numFmtId="0" fontId="18" fillId="0" borderId="53" xfId="50" applyFont="1" applyBorder="1" applyAlignment="1">
      <alignment horizontal="center" vertical="center"/>
      <protection/>
    </xf>
    <xf numFmtId="0" fontId="18" fillId="0" borderId="31" xfId="50" applyFont="1" applyBorder="1" applyAlignment="1">
      <alignment horizontal="center" vertical="center"/>
      <protection/>
    </xf>
    <xf numFmtId="0" fontId="18" fillId="0" borderId="55" xfId="50" applyFont="1" applyBorder="1" applyAlignment="1">
      <alignment horizontal="center" vertical="center"/>
      <protection/>
    </xf>
    <xf numFmtId="165" fontId="18" fillId="0" borderId="53" xfId="50" applyNumberFormat="1" applyFont="1" applyBorder="1" applyAlignment="1">
      <alignment horizontal="center" vertical="center"/>
      <protection/>
    </xf>
    <xf numFmtId="165" fontId="18" fillId="0" borderId="31" xfId="50" applyNumberFormat="1" applyFont="1" applyBorder="1" applyAlignment="1">
      <alignment horizontal="center" vertical="center"/>
      <protection/>
    </xf>
    <xf numFmtId="165" fontId="18" fillId="0" borderId="55" xfId="50" applyNumberFormat="1" applyFont="1" applyBorder="1" applyAlignment="1">
      <alignment horizontal="center" vertical="center"/>
      <protection/>
    </xf>
    <xf numFmtId="43" fontId="19" fillId="0" borderId="53" xfId="50" applyNumberFormat="1" applyFont="1" applyFill="1" applyBorder="1" applyAlignment="1">
      <alignment horizontal="center" vertical="center"/>
      <protection/>
    </xf>
    <xf numFmtId="165" fontId="19" fillId="0" borderId="53" xfId="50" applyNumberFormat="1" applyFont="1" applyFill="1" applyBorder="1" applyAlignment="1">
      <alignment horizontal="center" vertical="center"/>
      <protection/>
    </xf>
    <xf numFmtId="165" fontId="19" fillId="0" borderId="31" xfId="50" applyNumberFormat="1" applyFont="1" applyFill="1" applyBorder="1" applyAlignment="1">
      <alignment horizontal="center" vertical="center"/>
      <protection/>
    </xf>
    <xf numFmtId="165" fontId="19" fillId="0" borderId="55" xfId="50" applyNumberFormat="1" applyFont="1" applyFill="1" applyBorder="1" applyAlignment="1">
      <alignment horizontal="center" vertical="center"/>
      <protection/>
    </xf>
    <xf numFmtId="43" fontId="18" fillId="0" borderId="53" xfId="50" applyNumberFormat="1" applyFont="1" applyBorder="1" applyAlignment="1">
      <alignment horizontal="center" vertical="center"/>
      <protection/>
    </xf>
    <xf numFmtId="0" fontId="18" fillId="0" borderId="23" xfId="50" applyFont="1" applyFill="1" applyBorder="1" applyAlignment="1">
      <alignment horizontal="center" vertical="center"/>
      <protection/>
    </xf>
    <xf numFmtId="3" fontId="26" fillId="0" borderId="11" xfId="50" applyNumberFormat="1" applyFont="1" applyFill="1" applyBorder="1" applyAlignment="1">
      <alignment horizontal="center" vertical="center"/>
      <protection/>
    </xf>
    <xf numFmtId="3" fontId="26" fillId="0" borderId="21" xfId="50" applyNumberFormat="1" applyFont="1" applyFill="1" applyBorder="1" applyAlignment="1">
      <alignment horizontal="center" vertical="center" wrapText="1"/>
      <protection/>
    </xf>
    <xf numFmtId="3" fontId="26" fillId="0" borderId="13" xfId="50" applyNumberFormat="1" applyFont="1" applyFill="1" applyBorder="1" applyAlignment="1">
      <alignment horizontal="center" vertical="center" wrapText="1"/>
      <protection/>
    </xf>
    <xf numFmtId="3" fontId="26" fillId="0" borderId="48" xfId="50" applyNumberFormat="1" applyFont="1" applyFill="1" applyBorder="1" applyAlignment="1">
      <alignment horizontal="center" vertical="center" wrapText="1"/>
      <protection/>
    </xf>
    <xf numFmtId="3" fontId="26" fillId="0" borderId="49" xfId="50" applyNumberFormat="1" applyFont="1" applyFill="1" applyBorder="1" applyAlignment="1">
      <alignment horizontal="center" vertical="center" wrapText="1"/>
      <protection/>
    </xf>
    <xf numFmtId="3" fontId="26" fillId="0" borderId="81" xfId="50" applyNumberFormat="1" applyFont="1" applyFill="1" applyBorder="1" applyAlignment="1">
      <alignment horizontal="center" vertical="center"/>
      <protection/>
    </xf>
    <xf numFmtId="3" fontId="26" fillId="0" borderId="61" xfId="50" applyNumberFormat="1" applyFont="1" applyFill="1" applyBorder="1" applyAlignment="1">
      <alignment horizontal="center" vertical="center"/>
      <protection/>
    </xf>
    <xf numFmtId="165" fontId="13" fillId="0" borderId="12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5" fontId="13" fillId="0" borderId="29" xfId="0" applyNumberFormat="1" applyFont="1" applyBorder="1" applyAlignment="1">
      <alignment horizontal="center" vertical="center"/>
    </xf>
    <xf numFmtId="165" fontId="13" fillId="0" borderId="14" xfId="0" applyNumberFormat="1" applyFont="1" applyBorder="1" applyAlignment="1">
      <alignment horizontal="center" vertical="center"/>
    </xf>
    <xf numFmtId="165" fontId="13" fillId="0" borderId="23" xfId="0" applyNumberFormat="1" applyFont="1" applyBorder="1" applyAlignment="1">
      <alignment horizontal="center" vertical="center"/>
    </xf>
    <xf numFmtId="165" fontId="13" fillId="0" borderId="45" xfId="0" applyNumberFormat="1" applyFont="1" applyBorder="1" applyAlignment="1">
      <alignment horizontal="center" vertical="center"/>
    </xf>
    <xf numFmtId="4" fontId="13" fillId="0" borderId="51" xfId="0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/>
    </xf>
    <xf numFmtId="4" fontId="13" fillId="0" borderId="29" xfId="0" applyNumberFormat="1" applyFont="1" applyBorder="1" applyAlignment="1">
      <alignment horizontal="right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" fontId="13" fillId="0" borderId="35" xfId="0" applyNumberFormat="1" applyFont="1" applyBorder="1" applyAlignment="1">
      <alignment horizontal="center" vertical="center"/>
    </xf>
    <xf numFmtId="4" fontId="13" fillId="0" borderId="34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35" borderId="67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35" borderId="53" xfId="0" applyFont="1" applyFill="1" applyBorder="1" applyAlignment="1">
      <alignment horizontal="center" vertical="center"/>
    </xf>
    <xf numFmtId="0" fontId="13" fillId="35" borderId="31" xfId="0" applyFont="1" applyFill="1" applyBorder="1" applyAlignment="1">
      <alignment horizontal="center" vertical="center"/>
    </xf>
    <xf numFmtId="0" fontId="13" fillId="35" borderId="55" xfId="0" applyFont="1" applyFill="1" applyBorder="1" applyAlignment="1">
      <alignment horizontal="center" vertical="center"/>
    </xf>
    <xf numFmtId="2" fontId="13" fillId="0" borderId="0" xfId="0" applyNumberFormat="1" applyFont="1" applyBorder="1" applyAlignment="1">
      <alignment horizontal="left"/>
    </xf>
    <xf numFmtId="0" fontId="13" fillId="0" borderId="0" xfId="0" applyFont="1" applyFill="1" applyBorder="1" applyAlignment="1">
      <alignment horizontal="left" vertical="center" wrapText="1" indent="7"/>
    </xf>
    <xf numFmtId="0" fontId="12" fillId="0" borderId="0" xfId="0" applyFont="1" applyFill="1" applyBorder="1" applyAlignment="1">
      <alignment horizontal="left" vertical="center" wrapText="1" indent="7"/>
    </xf>
    <xf numFmtId="4" fontId="13" fillId="0" borderId="20" xfId="0" applyNumberFormat="1" applyFont="1" applyBorder="1" applyAlignment="1">
      <alignment horizontal="right" vertical="center"/>
    </xf>
    <xf numFmtId="4" fontId="13" fillId="0" borderId="22" xfId="0" applyNumberFormat="1" applyFont="1" applyBorder="1" applyAlignment="1">
      <alignment horizontal="right" vertical="center"/>
    </xf>
    <xf numFmtId="4" fontId="13" fillId="0" borderId="44" xfId="0" applyNumberFormat="1" applyFont="1" applyBorder="1" applyAlignment="1">
      <alignment horizontal="right" vertical="center"/>
    </xf>
    <xf numFmtId="0" fontId="13" fillId="35" borderId="11" xfId="0" applyFont="1" applyFill="1" applyBorder="1" applyAlignment="1">
      <alignment horizontal="center" vertical="center"/>
    </xf>
    <xf numFmtId="0" fontId="13" fillId="35" borderId="64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165" fontId="13" fillId="0" borderId="16" xfId="0" applyNumberFormat="1" applyFont="1" applyBorder="1" applyAlignment="1">
      <alignment horizontal="center" vertical="center"/>
    </xf>
    <xf numFmtId="165" fontId="13" fillId="0" borderId="64" xfId="0" applyNumberFormat="1" applyFont="1" applyBorder="1" applyAlignment="1">
      <alignment horizontal="center" vertical="center"/>
    </xf>
    <xf numFmtId="4" fontId="13" fillId="0" borderId="14" xfId="0" applyNumberFormat="1" applyFont="1" applyBorder="1" applyAlignment="1">
      <alignment horizontal="right" vertical="center"/>
    </xf>
    <xf numFmtId="4" fontId="13" fillId="0" borderId="23" xfId="0" applyNumberFormat="1" applyFont="1" applyBorder="1" applyAlignment="1">
      <alignment horizontal="right" vertical="center"/>
    </xf>
    <xf numFmtId="4" fontId="13" fillId="0" borderId="45" xfId="0" applyNumberFormat="1" applyFont="1" applyBorder="1" applyAlignment="1">
      <alignment horizontal="right" vertical="center"/>
    </xf>
    <xf numFmtId="4" fontId="13" fillId="0" borderId="54" xfId="0" applyNumberFormat="1" applyFont="1" applyBorder="1" applyAlignment="1">
      <alignment horizontal="right" vertical="center"/>
    </xf>
    <xf numFmtId="4" fontId="13" fillId="0" borderId="41" xfId="0" applyNumberFormat="1" applyFont="1" applyBorder="1" applyAlignment="1">
      <alignment horizontal="right" vertical="center"/>
    </xf>
    <xf numFmtId="4" fontId="13" fillId="0" borderId="30" xfId="0" applyNumberFormat="1" applyFont="1" applyBorder="1" applyAlignment="1">
      <alignment horizontal="right" vertical="center"/>
    </xf>
    <xf numFmtId="0" fontId="12" fillId="35" borderId="10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 vertical="center"/>
    </xf>
    <xf numFmtId="0" fontId="13" fillId="35" borderId="48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49" xfId="0" applyFont="1" applyFill="1" applyBorder="1" applyAlignment="1">
      <alignment horizontal="center" vertical="center"/>
    </xf>
    <xf numFmtId="165" fontId="13" fillId="0" borderId="20" xfId="57" applyFont="1" applyFill="1" applyBorder="1" applyAlignment="1" applyProtection="1">
      <alignment horizontal="center" vertical="center"/>
      <protection/>
    </xf>
    <xf numFmtId="165" fontId="13" fillId="0" borderId="48" xfId="57" applyFont="1" applyFill="1" applyBorder="1" applyAlignment="1" applyProtection="1">
      <alignment horizontal="center" vertical="center"/>
      <protection/>
    </xf>
    <xf numFmtId="165" fontId="13" fillId="0" borderId="16" xfId="57" applyNumberFormat="1" applyFont="1" applyFill="1" applyBorder="1" applyAlignment="1" applyProtection="1">
      <alignment horizontal="center" vertical="center"/>
      <protection/>
    </xf>
    <xf numFmtId="165" fontId="13" fillId="0" borderId="64" xfId="57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left" vertical="center" wrapText="1" indent="8"/>
    </xf>
    <xf numFmtId="0" fontId="26" fillId="35" borderId="11" xfId="0" applyFont="1" applyFill="1" applyBorder="1" applyAlignment="1">
      <alignment horizontal="center" vertical="center"/>
    </xf>
    <xf numFmtId="2" fontId="13" fillId="0" borderId="22" xfId="57" applyNumberFormat="1" applyFont="1" applyFill="1" applyBorder="1" applyAlignment="1" applyProtection="1">
      <alignment horizontal="right" vertical="center"/>
      <protection/>
    </xf>
    <xf numFmtId="2" fontId="13" fillId="0" borderId="44" xfId="57" applyNumberFormat="1" applyFont="1" applyFill="1" applyBorder="1" applyAlignment="1" applyProtection="1">
      <alignment horizontal="right" vertical="center"/>
      <protection/>
    </xf>
    <xf numFmtId="37" fontId="13" fillId="0" borderId="0" xfId="0" applyNumberFormat="1" applyFont="1" applyAlignment="1">
      <alignment horizontal="left" vertical="center"/>
    </xf>
    <xf numFmtId="49" fontId="18" fillId="0" borderId="22" xfId="0" applyNumberFormat="1" applyFont="1" applyBorder="1" applyAlignment="1">
      <alignment horizontal="left"/>
    </xf>
    <xf numFmtId="0" fontId="19" fillId="35" borderId="15" xfId="0" applyFont="1" applyFill="1" applyBorder="1" applyAlignment="1">
      <alignment horizontal="center" vertical="center"/>
    </xf>
    <xf numFmtId="0" fontId="19" fillId="35" borderId="16" xfId="0" applyFont="1" applyFill="1" applyBorder="1" applyAlignment="1">
      <alignment horizontal="center" vertical="center"/>
    </xf>
    <xf numFmtId="0" fontId="19" fillId="35" borderId="64" xfId="0" applyFont="1" applyFill="1" applyBorder="1" applyAlignment="1">
      <alignment horizontal="center" vertical="center"/>
    </xf>
    <xf numFmtId="165" fontId="13" fillId="0" borderId="14" xfId="57" applyFont="1" applyFill="1" applyBorder="1" applyAlignment="1">
      <alignment horizontal="center" vertical="center"/>
    </xf>
    <xf numFmtId="165" fontId="13" fillId="0" borderId="45" xfId="57" applyFont="1" applyFill="1" applyBorder="1" applyAlignment="1">
      <alignment horizontal="center" vertical="center"/>
    </xf>
    <xf numFmtId="165" fontId="13" fillId="0" borderId="20" xfId="57" applyFont="1" applyFill="1" applyBorder="1" applyAlignment="1">
      <alignment horizontal="center" vertical="center"/>
    </xf>
    <xf numFmtId="165" fontId="13" fillId="0" borderId="19" xfId="57" applyFont="1" applyFill="1" applyBorder="1" applyAlignment="1">
      <alignment horizontal="center" vertical="center"/>
    </xf>
    <xf numFmtId="2" fontId="13" fillId="0" borderId="0" xfId="57" applyNumberFormat="1" applyFont="1" applyFill="1" applyBorder="1" applyAlignment="1" applyProtection="1">
      <alignment horizontal="right" vertical="center"/>
      <protection/>
    </xf>
    <xf numFmtId="2" fontId="13" fillId="0" borderId="29" xfId="57" applyNumberFormat="1" applyFont="1" applyFill="1" applyBorder="1" applyAlignment="1" applyProtection="1">
      <alignment horizontal="right" vertical="center"/>
      <protection/>
    </xf>
    <xf numFmtId="165" fontId="0" fillId="0" borderId="41" xfId="57" applyFont="1" applyFill="1" applyBorder="1" applyAlignment="1" applyProtection="1">
      <alignment horizontal="right" vertical="center"/>
      <protection/>
    </xf>
    <xf numFmtId="165" fontId="0" fillId="0" borderId="30" xfId="57" applyFont="1" applyFill="1" applyBorder="1" applyAlignment="1" applyProtection="1">
      <alignment horizontal="right" vertical="center"/>
      <protection/>
    </xf>
    <xf numFmtId="165" fontId="13" fillId="0" borderId="14" xfId="57" applyFont="1" applyFill="1" applyBorder="1" applyAlignment="1">
      <alignment horizontal="right" vertical="center"/>
    </xf>
    <xf numFmtId="165" fontId="13" fillId="0" borderId="24" xfId="57" applyFont="1" applyFill="1" applyBorder="1" applyAlignment="1">
      <alignment horizontal="right" vertical="center"/>
    </xf>
    <xf numFmtId="165" fontId="13" fillId="0" borderId="44" xfId="57" applyFont="1" applyFill="1" applyBorder="1" applyAlignment="1">
      <alignment horizontal="center" vertical="center"/>
    </xf>
    <xf numFmtId="0" fontId="19" fillId="35" borderId="63" xfId="0" applyFont="1" applyFill="1" applyBorder="1" applyAlignment="1">
      <alignment horizontal="center" vertical="center"/>
    </xf>
    <xf numFmtId="0" fontId="19" fillId="35" borderId="39" xfId="0" applyFont="1" applyFill="1" applyBorder="1" applyAlignment="1">
      <alignment horizontal="center" vertical="center"/>
    </xf>
    <xf numFmtId="0" fontId="19" fillId="35" borderId="80" xfId="0" applyFont="1" applyFill="1" applyBorder="1" applyAlignment="1">
      <alignment horizontal="center" vertical="center"/>
    </xf>
    <xf numFmtId="0" fontId="19" fillId="35" borderId="19" xfId="0" applyFont="1" applyFill="1" applyBorder="1" applyAlignment="1">
      <alignment horizontal="center" vertical="center"/>
    </xf>
    <xf numFmtId="0" fontId="19" fillId="35" borderId="54" xfId="0" applyFont="1" applyFill="1" applyBorder="1" applyAlignment="1">
      <alignment horizontal="center" vertical="center"/>
    </xf>
    <xf numFmtId="0" fontId="19" fillId="35" borderId="68" xfId="0" applyFont="1" applyFill="1" applyBorder="1" applyAlignment="1">
      <alignment horizontal="center" vertical="center"/>
    </xf>
    <xf numFmtId="165" fontId="19" fillId="0" borderId="54" xfId="57" applyFont="1" applyFill="1" applyBorder="1" applyAlignment="1" applyProtection="1">
      <alignment horizontal="center" vertical="center"/>
      <protection/>
    </xf>
    <xf numFmtId="165" fontId="19" fillId="0" borderId="30" xfId="57" applyFont="1" applyFill="1" applyBorder="1" applyAlignment="1" applyProtection="1">
      <alignment horizontal="center" vertical="center"/>
      <protection/>
    </xf>
    <xf numFmtId="0" fontId="19" fillId="0" borderId="16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165" fontId="13" fillId="0" borderId="24" xfId="57" applyFont="1" applyFill="1" applyBorder="1" applyAlignment="1">
      <alignment horizontal="center" vertical="center"/>
    </xf>
    <xf numFmtId="165" fontId="23" fillId="0" borderId="0" xfId="0" applyNumberFormat="1" applyFont="1" applyAlignment="1">
      <alignment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_LRF 6º BIMESTRE RREO 2008" xfId="49"/>
    <cellStyle name="Normal_LRF 6º BIMESTRE RREO 2008 2" xfId="50"/>
    <cellStyle name="Normal_LRF 6º BIMESTRE RREO 2009 2" xfId="51"/>
    <cellStyle name="Normal_SAUDE 3º BIM_2010" xfId="52"/>
    <cellStyle name="Nota" xfId="53"/>
    <cellStyle name="Percent" xfId="54"/>
    <cellStyle name="Porcentagem_SAUDE 3º BIM_2010" xfId="55"/>
    <cellStyle name="Saída" xfId="56"/>
    <cellStyle name="Comma" xfId="57"/>
    <cellStyle name="Comma [0]" xfId="58"/>
    <cellStyle name="Separador de milhares 2" xfId="59"/>
    <cellStyle name="Separador de milhares_LRF 6º BIMESTRE RREO 2008" xfId="60"/>
    <cellStyle name="Separador de milhares_LRF 6º BIMESTRE RREO 2008 2" xfId="61"/>
    <cellStyle name="Separador de milhares_LRF 6º BIMESTRE RREO 2009 2" xfId="62"/>
    <cellStyle name="Separador de milhares_LRF 6º BIMESTRE RREO 2010" xfId="63"/>
    <cellStyle name="Separador de milhares_SAUDE 3º BIM_2010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externalLink" Target="externalLinks/externalLink16.xml" /><Relationship Id="rId31" Type="http://schemas.openxmlformats.org/officeDocument/2006/relationships/externalLink" Target="externalLinks/externalLink17.xml" /><Relationship Id="rId32" Type="http://schemas.openxmlformats.org/officeDocument/2006/relationships/externalLink" Target="externalLinks/externalLink18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0</xdr:col>
      <xdr:colOff>619125</xdr:colOff>
      <xdr:row>4</xdr:row>
      <xdr:rowOff>209550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6191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105</xdr:row>
      <xdr:rowOff>66675</xdr:rowOff>
    </xdr:from>
    <xdr:to>
      <xdr:col>0</xdr:col>
      <xdr:colOff>381000</xdr:colOff>
      <xdr:row>106</xdr:row>
      <xdr:rowOff>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304800" y="252412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103</xdr:row>
      <xdr:rowOff>57150</xdr:rowOff>
    </xdr:from>
    <xdr:to>
      <xdr:col>10</xdr:col>
      <xdr:colOff>1143000</xdr:colOff>
      <xdr:row>107</xdr:row>
      <xdr:rowOff>47625</xdr:rowOff>
    </xdr:to>
    <xdr:grpSp>
      <xdr:nvGrpSpPr>
        <xdr:cNvPr id="3" name="Group 25"/>
        <xdr:cNvGrpSpPr>
          <a:grpSpLocks/>
        </xdr:cNvGrpSpPr>
      </xdr:nvGrpSpPr>
      <xdr:grpSpPr>
        <a:xfrm>
          <a:off x="523875" y="24831675"/>
          <a:ext cx="14773275" cy="790575"/>
          <a:chOff x="55" y="2569"/>
          <a:chExt cx="1438" cy="181"/>
        </a:xfrm>
        <a:solidFill>
          <a:srgbClr val="FFFFFF"/>
        </a:solidFill>
      </xdr:grpSpPr>
      <xdr:grpSp>
        <xdr:nvGrpSpPr>
          <xdr:cNvPr id="4" name="Group 4"/>
          <xdr:cNvGrpSpPr>
            <a:grpSpLocks/>
          </xdr:cNvGrpSpPr>
        </xdr:nvGrpSpPr>
        <xdr:grpSpPr>
          <a:xfrm>
            <a:off x="89" y="2569"/>
            <a:ext cx="1273" cy="107"/>
            <a:chOff x="1405" y="39064"/>
            <a:chExt cx="20789" cy="1615"/>
          </a:xfrm>
          <a:solidFill>
            <a:srgbClr val="FFFFFF"/>
          </a:solidFill>
        </xdr:grpSpPr>
        <xdr:sp fLocksText="0">
          <xdr:nvSpPr>
            <xdr:cNvPr id="5" name="Text Box 5"/>
            <xdr:cNvSpPr txBox="1">
              <a:spLocks noChangeArrowheads="1"/>
            </xdr:cNvSpPr>
          </xdr:nvSpPr>
          <xdr:spPr>
            <a:xfrm>
              <a:off x="1457" y="39097"/>
              <a:ext cx="6133" cy="158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Raimundo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José Rodrigues do Nascimento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Municipal da Fazenda</a:t>
              </a:r>
            </a:p>
          </xdr:txBody>
        </xdr:sp>
        <xdr:sp fLocksText="0">
          <xdr:nvSpPr>
            <xdr:cNvPr id="6" name="Text Box 6"/>
            <xdr:cNvSpPr txBox="1">
              <a:spLocks noChangeArrowheads="1"/>
            </xdr:cNvSpPr>
          </xdr:nvSpPr>
          <xdr:spPr>
            <a:xfrm>
              <a:off x="8707" y="39097"/>
              <a:ext cx="6086" cy="151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Délcio Rodrigues e Silva Neto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 Geral do Município</a:t>
              </a:r>
            </a:p>
          </xdr:txBody>
        </xdr:sp>
        <xdr:sp fLocksText="0">
          <xdr:nvSpPr>
            <xdr:cNvPr id="7" name="Text Box 7"/>
            <xdr:cNvSpPr txBox="1">
              <a:spLocks noChangeArrowheads="1"/>
            </xdr:cNvSpPr>
          </xdr:nvSpPr>
          <xdr:spPr>
            <a:xfrm>
              <a:off x="16040" y="39064"/>
              <a:ext cx="6154" cy="74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" name="Group 21"/>
          <xdr:cNvGrpSpPr>
            <a:grpSpLocks/>
          </xdr:cNvGrpSpPr>
        </xdr:nvGrpSpPr>
        <xdr:grpSpPr>
          <a:xfrm>
            <a:off x="55" y="2668"/>
            <a:ext cx="1438" cy="82"/>
            <a:chOff x="120" y="2528"/>
            <a:chExt cx="1343" cy="67"/>
          </a:xfrm>
          <a:solidFill>
            <a:srgbClr val="FFFFFF"/>
          </a:solidFill>
        </xdr:grpSpPr>
        <xdr:sp fLocksText="0">
          <xdr:nvSpPr>
            <xdr:cNvPr id="9" name="Text Box 22"/>
            <xdr:cNvSpPr txBox="1">
              <a:spLocks noChangeArrowheads="1"/>
            </xdr:cNvSpPr>
          </xdr:nvSpPr>
          <xdr:spPr>
            <a:xfrm>
              <a:off x="120" y="2543"/>
              <a:ext cx="401" cy="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10" name="Text Box 23"/>
            <xdr:cNvSpPr txBox="1">
              <a:spLocks noChangeArrowheads="1"/>
            </xdr:cNvSpPr>
          </xdr:nvSpPr>
          <xdr:spPr>
            <a:xfrm>
              <a:off x="535" y="2529"/>
              <a:ext cx="395" cy="5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11" name="Text Box 24"/>
            <xdr:cNvSpPr txBox="1">
              <a:spLocks noChangeArrowheads="1"/>
            </xdr:cNvSpPr>
          </xdr:nvSpPr>
          <xdr:spPr>
            <a:xfrm>
              <a:off x="1064" y="2528"/>
              <a:ext cx="399" cy="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oneCellAnchor>
    <xdr:from>
      <xdr:col>1</xdr:col>
      <xdr:colOff>495300</xdr:colOff>
      <xdr:row>109</xdr:row>
      <xdr:rowOff>114300</xdr:rowOff>
    </xdr:from>
    <xdr:ext cx="3000375" cy="609600"/>
    <xdr:sp>
      <xdr:nvSpPr>
        <xdr:cNvPr id="12" name="CaixaDeTexto 15"/>
        <xdr:cNvSpPr txBox="1">
          <a:spLocks noChangeArrowheads="1"/>
        </xdr:cNvSpPr>
      </xdr:nvSpPr>
      <xdr:spPr>
        <a:xfrm>
          <a:off x="3505200" y="26088975"/>
          <a:ext cx="30003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Jairo Câmara de Carvalho Filho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Contador Geral do Município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CRC-MA  2074</a:t>
          </a:r>
        </a:p>
      </xdr:txBody>
    </xdr:sp>
    <xdr:clientData/>
  </xdr:oneCellAnchor>
  <xdr:oneCellAnchor>
    <xdr:from>
      <xdr:col>0</xdr:col>
      <xdr:colOff>1019175</xdr:colOff>
      <xdr:row>90</xdr:row>
      <xdr:rowOff>47625</xdr:rowOff>
    </xdr:from>
    <xdr:ext cx="2714625" cy="266700"/>
    <xdr:sp fLocksText="0">
      <xdr:nvSpPr>
        <xdr:cNvPr id="13" name="CaixaDeTexto 16"/>
        <xdr:cNvSpPr txBox="1">
          <a:spLocks noChangeArrowheads="1"/>
        </xdr:cNvSpPr>
      </xdr:nvSpPr>
      <xdr:spPr>
        <a:xfrm>
          <a:off x="1019175" y="21736050"/>
          <a:ext cx="2714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609600</xdr:colOff>
      <xdr:row>89</xdr:row>
      <xdr:rowOff>228600</xdr:rowOff>
    </xdr:from>
    <xdr:ext cx="2066925" cy="266700"/>
    <xdr:sp fLocksText="0">
      <xdr:nvSpPr>
        <xdr:cNvPr id="14" name="CaixaDeTexto 17"/>
        <xdr:cNvSpPr txBox="1">
          <a:spLocks noChangeArrowheads="1"/>
        </xdr:cNvSpPr>
      </xdr:nvSpPr>
      <xdr:spPr>
        <a:xfrm>
          <a:off x="6162675" y="21678900"/>
          <a:ext cx="2066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504825</xdr:colOff>
      <xdr:row>96</xdr:row>
      <xdr:rowOff>123825</xdr:rowOff>
    </xdr:from>
    <xdr:ext cx="2428875" cy="266700"/>
    <xdr:sp fLocksText="0">
      <xdr:nvSpPr>
        <xdr:cNvPr id="15" name="CaixaDeTexto 18"/>
        <xdr:cNvSpPr txBox="1">
          <a:spLocks noChangeArrowheads="1"/>
        </xdr:cNvSpPr>
      </xdr:nvSpPr>
      <xdr:spPr>
        <a:xfrm>
          <a:off x="3514725" y="23241000"/>
          <a:ext cx="2428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0</xdr:col>
      <xdr:colOff>704850</xdr:colOff>
      <xdr:row>5</xdr:row>
      <xdr:rowOff>57150</xdr:rowOff>
    </xdr:to>
    <xdr:pic>
      <xdr:nvPicPr>
        <xdr:cNvPr id="1" name="Figuras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38</xdr:row>
      <xdr:rowOff>0</xdr:rowOff>
    </xdr:from>
    <xdr:to>
      <xdr:col>5</xdr:col>
      <xdr:colOff>0</xdr:colOff>
      <xdr:row>38</xdr:row>
      <xdr:rowOff>0</xdr:rowOff>
    </xdr:to>
    <xdr:grpSp>
      <xdr:nvGrpSpPr>
        <xdr:cNvPr id="2" name="Group 3"/>
        <xdr:cNvGrpSpPr>
          <a:grpSpLocks/>
        </xdr:cNvGrpSpPr>
      </xdr:nvGrpSpPr>
      <xdr:grpSpPr>
        <a:xfrm>
          <a:off x="47625" y="9029700"/>
          <a:ext cx="4743450" cy="0"/>
          <a:chOff x="81" y="21532"/>
          <a:chExt cx="15446" cy="716"/>
        </a:xfrm>
        <a:solidFill>
          <a:srgbClr val="FFFFFF"/>
        </a:solidFill>
      </xdr:grpSpPr>
      <xdr:sp fLocksText="0">
        <xdr:nvSpPr>
          <xdr:cNvPr id="3" name="Text Box 4"/>
          <xdr:cNvSpPr txBox="1">
            <a:spLocks noChangeArrowheads="1"/>
          </xdr:cNvSpPr>
        </xdr:nvSpPr>
        <xdr:spPr>
          <a:xfrm>
            <a:off x="81" y="9029700"/>
            <a:ext cx="4468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José Mário Bittencourt Araújo           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Secretário Municipal da Fazenda</a:t>
            </a:r>
          </a:p>
        </xdr:txBody>
      </xdr:sp>
      <xdr:sp fLocksText="0">
        <xdr:nvSpPr>
          <xdr:cNvPr id="4" name="Text Box 5"/>
          <xdr:cNvSpPr txBox="1">
            <a:spLocks noChangeArrowheads="1"/>
          </xdr:cNvSpPr>
        </xdr:nvSpPr>
        <xdr:spPr>
          <a:xfrm>
            <a:off x="81" y="9029700"/>
            <a:ext cx="511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Maria Marphisa Barbosa Mont’alverne Frota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Controladora Geral do Município, em exercício</a:t>
            </a:r>
          </a:p>
        </xdr:txBody>
      </xdr:sp>
      <xdr:sp fLocksText="0">
        <xdr:nvSpPr>
          <xdr:cNvPr id="5" name="Text Box 6"/>
          <xdr:cNvSpPr txBox="1">
            <a:spLocks noChangeArrowheads="1"/>
          </xdr:cNvSpPr>
        </xdr:nvSpPr>
        <xdr:spPr>
          <a:xfrm>
            <a:off x="1991205119" y="9029700"/>
            <a:ext cx="459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Getúlio Germano de Brito  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Superintendente de Contabilidade do Município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2268/0-8</a:t>
            </a:r>
          </a:p>
        </xdr:txBody>
      </xdr:sp>
    </xdr:grpSp>
    <xdr:clientData/>
  </xdr:twoCellAnchor>
  <xdr:twoCellAnchor>
    <xdr:from>
      <xdr:col>0</xdr:col>
      <xdr:colOff>19050</xdr:colOff>
      <xdr:row>37</xdr:row>
      <xdr:rowOff>47625</xdr:rowOff>
    </xdr:from>
    <xdr:to>
      <xdr:col>20</xdr:col>
      <xdr:colOff>247650</xdr:colOff>
      <xdr:row>50</xdr:row>
      <xdr:rowOff>142875</xdr:rowOff>
    </xdr:to>
    <xdr:grpSp>
      <xdr:nvGrpSpPr>
        <xdr:cNvPr id="6" name="Group 7"/>
        <xdr:cNvGrpSpPr>
          <a:grpSpLocks/>
        </xdr:cNvGrpSpPr>
      </xdr:nvGrpSpPr>
      <xdr:grpSpPr>
        <a:xfrm>
          <a:off x="19050" y="8915400"/>
          <a:ext cx="6362700" cy="2543175"/>
          <a:chOff x="90" y="2568"/>
          <a:chExt cx="1402" cy="227"/>
        </a:xfrm>
        <a:solidFill>
          <a:srgbClr val="FFFFFF"/>
        </a:solidFill>
      </xdr:grpSpPr>
      <xdr:grpSp>
        <xdr:nvGrpSpPr>
          <xdr:cNvPr id="7" name="Group 8"/>
          <xdr:cNvGrpSpPr>
            <a:grpSpLocks/>
          </xdr:cNvGrpSpPr>
        </xdr:nvGrpSpPr>
        <xdr:grpSpPr>
          <a:xfrm>
            <a:off x="90" y="2568"/>
            <a:ext cx="1362" cy="49"/>
            <a:chOff x="1419" y="39064"/>
            <a:chExt cx="22289" cy="740"/>
          </a:xfrm>
          <a:solidFill>
            <a:srgbClr val="FFFFFF"/>
          </a:solidFill>
        </xdr:grpSpPr>
        <xdr:sp fLocksText="0">
          <xdr:nvSpPr>
            <xdr:cNvPr id="8" name="Text Box 9"/>
            <xdr:cNvSpPr txBox="1">
              <a:spLocks noChangeArrowheads="1"/>
            </xdr:cNvSpPr>
          </xdr:nvSpPr>
          <xdr:spPr>
            <a:xfrm>
              <a:off x="1419" y="39180"/>
              <a:ext cx="9239" cy="6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Raimundo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José Rodrigues do Nascimento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9" name="Text Box 10"/>
            <xdr:cNvSpPr txBox="1">
              <a:spLocks noChangeArrowheads="1"/>
            </xdr:cNvSpPr>
          </xdr:nvSpPr>
          <xdr:spPr>
            <a:xfrm>
              <a:off x="14090" y="39180"/>
              <a:ext cx="9618" cy="6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Délcio Rodrigues e Silva Neto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 Geral do Município</a:t>
              </a:r>
            </a:p>
          </xdr:txBody>
        </xdr:sp>
        <xdr:sp fLocksText="0">
          <xdr:nvSpPr>
            <xdr:cNvPr id="10" name="Text Box 11"/>
            <xdr:cNvSpPr txBox="1">
              <a:spLocks noChangeArrowheads="1"/>
            </xdr:cNvSpPr>
          </xdr:nvSpPr>
          <xdr:spPr>
            <a:xfrm>
              <a:off x="16041" y="39064"/>
              <a:ext cx="6152" cy="74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" name="Group 12"/>
          <xdr:cNvGrpSpPr>
            <a:grpSpLocks/>
          </xdr:cNvGrpSpPr>
        </xdr:nvGrpSpPr>
        <xdr:grpSpPr>
          <a:xfrm>
            <a:off x="123" y="2673"/>
            <a:ext cx="1369" cy="122"/>
            <a:chOff x="183" y="2492"/>
            <a:chExt cx="1280" cy="98"/>
          </a:xfrm>
          <a:solidFill>
            <a:srgbClr val="FFFFFF"/>
          </a:solidFill>
        </xdr:grpSpPr>
        <xdr:sp fLocksText="0">
          <xdr:nvSpPr>
            <xdr:cNvPr id="12" name="Text Box 13"/>
            <xdr:cNvSpPr txBox="1">
              <a:spLocks noChangeArrowheads="1"/>
            </xdr:cNvSpPr>
          </xdr:nvSpPr>
          <xdr:spPr>
            <a:xfrm>
              <a:off x="183" y="2496"/>
              <a:ext cx="400" cy="3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Text Box 14"/>
            <xdr:cNvSpPr txBox="1">
              <a:spLocks noChangeArrowheads="1"/>
            </xdr:cNvSpPr>
          </xdr:nvSpPr>
          <xdr:spPr>
            <a:xfrm>
              <a:off x="543" y="2492"/>
              <a:ext cx="493" cy="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Jairo Câmara de Carvalho Filho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Contador Geral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2074</a:t>
              </a:r>
            </a:p>
          </xdr:txBody>
        </xdr:sp>
        <xdr:sp fLocksText="0">
          <xdr:nvSpPr>
            <xdr:cNvPr id="14" name="Text Box 15"/>
            <xdr:cNvSpPr txBox="1">
              <a:spLocks noChangeArrowheads="1"/>
            </xdr:cNvSpPr>
          </xdr:nvSpPr>
          <xdr:spPr>
            <a:xfrm>
              <a:off x="1064" y="2528"/>
              <a:ext cx="399" cy="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0</xdr:col>
      <xdr:colOff>647700</xdr:colOff>
      <xdr:row>4</xdr:row>
      <xdr:rowOff>0</xdr:rowOff>
    </xdr:to>
    <xdr:pic>
      <xdr:nvPicPr>
        <xdr:cNvPr id="1" name="Figuras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542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103</xdr:row>
      <xdr:rowOff>0</xdr:rowOff>
    </xdr:from>
    <xdr:to>
      <xdr:col>4</xdr:col>
      <xdr:colOff>895350</xdr:colOff>
      <xdr:row>103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295275" y="25803225"/>
          <a:ext cx="8772525" cy="0"/>
          <a:chOff x="1215" y="38223"/>
          <a:chExt cx="12496" cy="731"/>
        </a:xfrm>
        <a:solidFill>
          <a:srgbClr val="FFFFFF"/>
        </a:solidFill>
      </xdr:grpSpPr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1215" y="25803225"/>
            <a:ext cx="367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José Mário Bittencourt Araújo           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Secretário Municipal da Fazenda</a:t>
            </a:r>
          </a:p>
        </xdr:txBody>
      </xdr:sp>
      <xdr:sp fLocksText="0">
        <xdr:nvSpPr>
          <xdr:cNvPr id="4" name="Text Box 4"/>
          <xdr:cNvSpPr txBox="1">
            <a:spLocks noChangeArrowheads="1"/>
          </xdr:cNvSpPr>
        </xdr:nvSpPr>
        <xdr:spPr>
          <a:xfrm>
            <a:off x="1215" y="25803225"/>
            <a:ext cx="363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Maria Marphisa Barbosa Mont’alverne Frota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Controladora Geral do Município, em exercício</a:t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1215" y="25803225"/>
            <a:ext cx="3664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Getúlio Germano de Brito  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Superintendente de Contabilidade do Município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2268/0-8</a:t>
            </a:r>
          </a:p>
        </xdr:txBody>
      </xdr:sp>
    </xdr:grpSp>
    <xdr:clientData/>
  </xdr:twoCellAnchor>
  <xdr:twoCellAnchor>
    <xdr:from>
      <xdr:col>0</xdr:col>
      <xdr:colOff>0</xdr:colOff>
      <xdr:row>95</xdr:row>
      <xdr:rowOff>133350</xdr:rowOff>
    </xdr:from>
    <xdr:to>
      <xdr:col>8</xdr:col>
      <xdr:colOff>238125</xdr:colOff>
      <xdr:row>106</xdr:row>
      <xdr:rowOff>85725</xdr:rowOff>
    </xdr:to>
    <xdr:grpSp>
      <xdr:nvGrpSpPr>
        <xdr:cNvPr id="6" name="Group 16"/>
        <xdr:cNvGrpSpPr>
          <a:grpSpLocks/>
        </xdr:cNvGrpSpPr>
      </xdr:nvGrpSpPr>
      <xdr:grpSpPr>
        <a:xfrm>
          <a:off x="0" y="24641175"/>
          <a:ext cx="12687300" cy="1819275"/>
          <a:chOff x="51" y="2518"/>
          <a:chExt cx="1442" cy="275"/>
        </a:xfrm>
        <a:solidFill>
          <a:srgbClr val="FFFFFF"/>
        </a:solidFill>
      </xdr:grpSpPr>
      <xdr:grpSp>
        <xdr:nvGrpSpPr>
          <xdr:cNvPr id="7" name="Group 17"/>
          <xdr:cNvGrpSpPr>
            <a:grpSpLocks/>
          </xdr:cNvGrpSpPr>
        </xdr:nvGrpSpPr>
        <xdr:grpSpPr>
          <a:xfrm>
            <a:off x="180" y="2518"/>
            <a:ext cx="1183" cy="152"/>
            <a:chOff x="2882" y="39064"/>
            <a:chExt cx="19312" cy="2340"/>
          </a:xfrm>
          <a:solidFill>
            <a:srgbClr val="FFFFFF"/>
          </a:solidFill>
        </xdr:grpSpPr>
        <xdr:sp fLocksText="0">
          <xdr:nvSpPr>
            <xdr:cNvPr id="8" name="Text Box 18"/>
            <xdr:cNvSpPr txBox="1">
              <a:spLocks noChangeArrowheads="1"/>
            </xdr:cNvSpPr>
          </xdr:nvSpPr>
          <xdr:spPr>
            <a:xfrm>
              <a:off x="2882" y="39308"/>
              <a:ext cx="6170" cy="177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Raimundo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José Rodrigues do Nascimento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9" name="Text Box 19"/>
            <xdr:cNvSpPr txBox="1">
              <a:spLocks noChangeArrowheads="1"/>
            </xdr:cNvSpPr>
          </xdr:nvSpPr>
          <xdr:spPr>
            <a:xfrm>
              <a:off x="9965" y="39374"/>
              <a:ext cx="6098" cy="20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Délcio Rodrigues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e Silva Neto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 Geral do Município</a:t>
              </a:r>
            </a:p>
          </xdr:txBody>
        </xdr:sp>
        <xdr:sp fLocksText="0">
          <xdr:nvSpPr>
            <xdr:cNvPr id="10" name="Text Box 20"/>
            <xdr:cNvSpPr txBox="1">
              <a:spLocks noChangeArrowheads="1"/>
            </xdr:cNvSpPr>
          </xdr:nvSpPr>
          <xdr:spPr>
            <a:xfrm>
              <a:off x="16038" y="39064"/>
              <a:ext cx="6156" cy="74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" name="Group 21"/>
          <xdr:cNvGrpSpPr>
            <a:grpSpLocks/>
          </xdr:cNvGrpSpPr>
        </xdr:nvGrpSpPr>
        <xdr:grpSpPr>
          <a:xfrm>
            <a:off x="51" y="2667"/>
            <a:ext cx="1442" cy="126"/>
            <a:chOff x="116" y="2528"/>
            <a:chExt cx="1347" cy="103"/>
          </a:xfrm>
          <a:solidFill>
            <a:srgbClr val="FFFFFF"/>
          </a:solidFill>
        </xdr:grpSpPr>
        <xdr:sp fLocksText="0">
          <xdr:nvSpPr>
            <xdr:cNvPr id="12" name="Text Box 22"/>
            <xdr:cNvSpPr txBox="1">
              <a:spLocks noChangeArrowheads="1"/>
            </xdr:cNvSpPr>
          </xdr:nvSpPr>
          <xdr:spPr>
            <a:xfrm>
              <a:off x="116" y="2546"/>
              <a:ext cx="401" cy="7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Text Box 23"/>
            <xdr:cNvSpPr txBox="1">
              <a:spLocks noChangeArrowheads="1"/>
            </xdr:cNvSpPr>
          </xdr:nvSpPr>
          <xdr:spPr>
            <a:xfrm>
              <a:off x="412" y="2538"/>
              <a:ext cx="371" cy="9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Jairo Câmara de Carvalho Filho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Contador Geral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2074</a:t>
              </a:r>
            </a:p>
          </xdr:txBody>
        </xdr:sp>
        <xdr:sp fLocksText="0">
          <xdr:nvSpPr>
            <xdr:cNvPr id="14" name="Text Box 24"/>
            <xdr:cNvSpPr txBox="1">
              <a:spLocks noChangeArrowheads="1"/>
            </xdr:cNvSpPr>
          </xdr:nvSpPr>
          <xdr:spPr>
            <a:xfrm>
              <a:off x="1064" y="2528"/>
              <a:ext cx="399" cy="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581025</xdr:colOff>
      <xdr:row>4</xdr:row>
      <xdr:rowOff>200025</xdr:rowOff>
    </xdr:to>
    <xdr:pic>
      <xdr:nvPicPr>
        <xdr:cNvPr id="1" name="Figura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523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561975</xdr:colOff>
      <xdr:row>5</xdr:row>
      <xdr:rowOff>0</xdr:rowOff>
    </xdr:to>
    <xdr:pic>
      <xdr:nvPicPr>
        <xdr:cNvPr id="2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144</xdr:row>
      <xdr:rowOff>28575</xdr:rowOff>
    </xdr:from>
    <xdr:to>
      <xdr:col>14</xdr:col>
      <xdr:colOff>914400</xdr:colOff>
      <xdr:row>151</xdr:row>
      <xdr:rowOff>152400</xdr:rowOff>
    </xdr:to>
    <xdr:grpSp>
      <xdr:nvGrpSpPr>
        <xdr:cNvPr id="3" name="Group 21"/>
        <xdr:cNvGrpSpPr>
          <a:grpSpLocks/>
        </xdr:cNvGrpSpPr>
      </xdr:nvGrpSpPr>
      <xdr:grpSpPr>
        <a:xfrm>
          <a:off x="485775" y="31880175"/>
          <a:ext cx="14277975" cy="1724025"/>
          <a:chOff x="51" y="2568"/>
          <a:chExt cx="1442" cy="181"/>
        </a:xfrm>
        <a:solidFill>
          <a:srgbClr val="FFFFFF"/>
        </a:solidFill>
      </xdr:grpSpPr>
      <xdr:grpSp>
        <xdr:nvGrpSpPr>
          <xdr:cNvPr id="4" name="Group 22"/>
          <xdr:cNvGrpSpPr>
            <a:grpSpLocks/>
          </xdr:cNvGrpSpPr>
        </xdr:nvGrpSpPr>
        <xdr:grpSpPr>
          <a:xfrm>
            <a:off x="90" y="2568"/>
            <a:ext cx="1272" cy="49"/>
            <a:chOff x="1421" y="39064"/>
            <a:chExt cx="20772" cy="740"/>
          </a:xfrm>
          <a:solidFill>
            <a:srgbClr val="FFFFFF"/>
          </a:solidFill>
        </xdr:grpSpPr>
        <xdr:sp fLocksText="0">
          <xdr:nvSpPr>
            <xdr:cNvPr id="5" name="Text Box 23"/>
            <xdr:cNvSpPr txBox="1">
              <a:spLocks noChangeArrowheads="1"/>
            </xdr:cNvSpPr>
          </xdr:nvSpPr>
          <xdr:spPr>
            <a:xfrm>
              <a:off x="1426" y="39094"/>
              <a:ext cx="6174" cy="63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Raimundo José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Rodrigues do Nascimento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6" name="Text Box 24"/>
            <xdr:cNvSpPr txBox="1">
              <a:spLocks noChangeArrowheads="1"/>
            </xdr:cNvSpPr>
          </xdr:nvSpPr>
          <xdr:spPr>
            <a:xfrm>
              <a:off x="8639" y="39124"/>
              <a:ext cx="6128" cy="6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Délcio Rodrigues e Silva Neto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 Geral do Município</a:t>
              </a:r>
            </a:p>
          </xdr:txBody>
        </xdr:sp>
        <xdr:sp fLocksText="0">
          <xdr:nvSpPr>
            <xdr:cNvPr id="7" name="Text Box 25"/>
            <xdr:cNvSpPr txBox="1">
              <a:spLocks noChangeArrowheads="1"/>
            </xdr:cNvSpPr>
          </xdr:nvSpPr>
          <xdr:spPr>
            <a:xfrm>
              <a:off x="16039" y="39064"/>
              <a:ext cx="6154" cy="74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" name="Group 26"/>
          <xdr:cNvGrpSpPr>
            <a:grpSpLocks/>
          </xdr:cNvGrpSpPr>
        </xdr:nvGrpSpPr>
        <xdr:grpSpPr>
          <a:xfrm>
            <a:off x="51" y="2673"/>
            <a:ext cx="1442" cy="76"/>
            <a:chOff x="116" y="2528"/>
            <a:chExt cx="1347" cy="62"/>
          </a:xfrm>
          <a:solidFill>
            <a:srgbClr val="FFFFFF"/>
          </a:solidFill>
        </xdr:grpSpPr>
        <xdr:sp>
          <xdr:nvSpPr>
            <xdr:cNvPr id="9" name="Text Box 27"/>
            <xdr:cNvSpPr txBox="1">
              <a:spLocks noChangeArrowheads="1"/>
            </xdr:cNvSpPr>
          </xdr:nvSpPr>
          <xdr:spPr>
            <a:xfrm>
              <a:off x="116" y="2531"/>
              <a:ext cx="401" cy="5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</a:t>
              </a:r>
            </a:p>
          </xdr:txBody>
        </xdr:sp>
        <xdr:sp>
          <xdr:nvSpPr>
            <xdr:cNvPr id="10" name="Text Box 28"/>
            <xdr:cNvSpPr txBox="1">
              <a:spLocks noChangeArrowheads="1"/>
            </xdr:cNvSpPr>
          </xdr:nvSpPr>
          <xdr:spPr>
            <a:xfrm>
              <a:off x="365" y="2531"/>
              <a:ext cx="397" cy="5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Jairo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Câmara de Carvalho Filho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Contador Geral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2074 </a:t>
              </a:r>
            </a:p>
          </xdr:txBody>
        </xdr:sp>
        <xdr:sp fLocksText="0">
          <xdr:nvSpPr>
            <xdr:cNvPr id="11" name="Text Box 29"/>
            <xdr:cNvSpPr txBox="1">
              <a:spLocks noChangeArrowheads="1"/>
            </xdr:cNvSpPr>
          </xdr:nvSpPr>
          <xdr:spPr>
            <a:xfrm>
              <a:off x="1064" y="2528"/>
              <a:ext cx="399" cy="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723900</xdr:colOff>
      <xdr:row>4</xdr:row>
      <xdr:rowOff>171450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628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38</xdr:row>
      <xdr:rowOff>66675</xdr:rowOff>
    </xdr:from>
    <xdr:to>
      <xdr:col>17</xdr:col>
      <xdr:colOff>685800</xdr:colOff>
      <xdr:row>47</xdr:row>
      <xdr:rowOff>142875</xdr:rowOff>
    </xdr:to>
    <xdr:grpSp>
      <xdr:nvGrpSpPr>
        <xdr:cNvPr id="2" name="Group 10"/>
        <xdr:cNvGrpSpPr>
          <a:grpSpLocks/>
        </xdr:cNvGrpSpPr>
      </xdr:nvGrpSpPr>
      <xdr:grpSpPr>
        <a:xfrm>
          <a:off x="485775" y="7324725"/>
          <a:ext cx="16144875" cy="1790700"/>
          <a:chOff x="51" y="2570"/>
          <a:chExt cx="1440" cy="188"/>
        </a:xfrm>
        <a:solidFill>
          <a:srgbClr val="FFFFFF"/>
        </a:solidFill>
      </xdr:grpSpPr>
      <xdr:grpSp>
        <xdr:nvGrpSpPr>
          <xdr:cNvPr id="3" name="Group 11"/>
          <xdr:cNvGrpSpPr>
            <a:grpSpLocks/>
          </xdr:cNvGrpSpPr>
        </xdr:nvGrpSpPr>
        <xdr:grpSpPr>
          <a:xfrm>
            <a:off x="91" y="2570"/>
            <a:ext cx="1270" cy="76"/>
            <a:chOff x="1435" y="39064"/>
            <a:chExt cx="20759" cy="1147"/>
          </a:xfrm>
          <a:solidFill>
            <a:srgbClr val="FFFFFF"/>
          </a:solidFill>
        </xdr:grpSpPr>
        <xdr:sp fLocksText="0">
          <xdr:nvSpPr>
            <xdr:cNvPr id="4" name="Text Box 12"/>
            <xdr:cNvSpPr txBox="1">
              <a:spLocks noChangeArrowheads="1"/>
            </xdr:cNvSpPr>
          </xdr:nvSpPr>
          <xdr:spPr>
            <a:xfrm>
              <a:off x="1435" y="39577"/>
              <a:ext cx="6181" cy="63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Raimundo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José Rodrigues do Nascimento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5" name="Text Box 13"/>
            <xdr:cNvSpPr txBox="1">
              <a:spLocks noChangeArrowheads="1"/>
            </xdr:cNvSpPr>
          </xdr:nvSpPr>
          <xdr:spPr>
            <a:xfrm>
              <a:off x="8644" y="39396"/>
              <a:ext cx="6056" cy="6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Délcio Rodrigues e Silva Neto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 Geral do Município</a:t>
              </a:r>
            </a:p>
          </xdr:txBody>
        </xdr:sp>
        <xdr:sp fLocksText="0">
          <xdr:nvSpPr>
            <xdr:cNvPr id="6" name="Text Box 14"/>
            <xdr:cNvSpPr txBox="1">
              <a:spLocks noChangeArrowheads="1"/>
            </xdr:cNvSpPr>
          </xdr:nvSpPr>
          <xdr:spPr>
            <a:xfrm>
              <a:off x="16039" y="39064"/>
              <a:ext cx="6155" cy="74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" name="Group 15"/>
          <xdr:cNvGrpSpPr>
            <a:grpSpLocks/>
          </xdr:cNvGrpSpPr>
        </xdr:nvGrpSpPr>
        <xdr:grpSpPr>
          <a:xfrm>
            <a:off x="51" y="2666"/>
            <a:ext cx="1440" cy="92"/>
            <a:chOff x="116" y="2521"/>
            <a:chExt cx="1347" cy="75"/>
          </a:xfrm>
          <a:solidFill>
            <a:srgbClr val="FFFFFF"/>
          </a:solidFill>
        </xdr:grpSpPr>
        <xdr:sp fLocksText="0">
          <xdr:nvSpPr>
            <xdr:cNvPr id="8" name="Text Box 16"/>
            <xdr:cNvSpPr txBox="1">
              <a:spLocks noChangeArrowheads="1"/>
            </xdr:cNvSpPr>
          </xdr:nvSpPr>
          <xdr:spPr>
            <a:xfrm>
              <a:off x="116" y="2521"/>
              <a:ext cx="401" cy="5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Text Box 17"/>
            <xdr:cNvSpPr txBox="1">
              <a:spLocks noChangeArrowheads="1"/>
            </xdr:cNvSpPr>
          </xdr:nvSpPr>
          <xdr:spPr>
            <a:xfrm>
              <a:off x="334" y="2544"/>
              <a:ext cx="397" cy="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Jairo Câmara de Carvalho Filho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Contador Geral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2074</a:t>
              </a:r>
            </a:p>
          </xdr:txBody>
        </xdr:sp>
        <xdr:sp fLocksText="0">
          <xdr:nvSpPr>
            <xdr:cNvPr id="10" name="Text Box 18"/>
            <xdr:cNvSpPr txBox="1">
              <a:spLocks noChangeArrowheads="1"/>
            </xdr:cNvSpPr>
          </xdr:nvSpPr>
          <xdr:spPr>
            <a:xfrm>
              <a:off x="1064" y="2528"/>
              <a:ext cx="399" cy="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0</xdr:col>
      <xdr:colOff>695325</xdr:colOff>
      <xdr:row>4</xdr:row>
      <xdr:rowOff>152400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552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68</xdr:row>
      <xdr:rowOff>0</xdr:rowOff>
    </xdr:from>
    <xdr:to>
      <xdr:col>0</xdr:col>
      <xdr:colOff>695325</xdr:colOff>
      <xdr:row>72</xdr:row>
      <xdr:rowOff>171450</xdr:rowOff>
    </xdr:to>
    <xdr:pic>
      <xdr:nvPicPr>
        <xdr:cNvPr id="2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34875"/>
          <a:ext cx="552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68</xdr:row>
      <xdr:rowOff>0</xdr:rowOff>
    </xdr:from>
    <xdr:to>
      <xdr:col>0</xdr:col>
      <xdr:colOff>695325</xdr:colOff>
      <xdr:row>72</xdr:row>
      <xdr:rowOff>171450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34875"/>
          <a:ext cx="552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139</xdr:row>
      <xdr:rowOff>0</xdr:rowOff>
    </xdr:from>
    <xdr:to>
      <xdr:col>24</xdr:col>
      <xdr:colOff>171450</xdr:colOff>
      <xdr:row>154</xdr:row>
      <xdr:rowOff>76200</xdr:rowOff>
    </xdr:to>
    <xdr:grpSp>
      <xdr:nvGrpSpPr>
        <xdr:cNvPr id="4" name="Group 9"/>
        <xdr:cNvGrpSpPr>
          <a:grpSpLocks/>
        </xdr:cNvGrpSpPr>
      </xdr:nvGrpSpPr>
      <xdr:grpSpPr>
        <a:xfrm>
          <a:off x="504825" y="24460200"/>
          <a:ext cx="14678025" cy="2219325"/>
          <a:chOff x="53" y="2566"/>
          <a:chExt cx="1440" cy="233"/>
        </a:xfrm>
        <a:solidFill>
          <a:srgbClr val="FFFFFF"/>
        </a:solidFill>
      </xdr:grpSpPr>
      <xdr:grpSp>
        <xdr:nvGrpSpPr>
          <xdr:cNvPr id="5" name="Group 10"/>
          <xdr:cNvGrpSpPr>
            <a:grpSpLocks/>
          </xdr:cNvGrpSpPr>
        </xdr:nvGrpSpPr>
        <xdr:grpSpPr>
          <a:xfrm>
            <a:off x="90" y="2566"/>
            <a:ext cx="1272" cy="49"/>
            <a:chOff x="1421" y="39064"/>
            <a:chExt cx="20773" cy="740"/>
          </a:xfrm>
          <a:solidFill>
            <a:srgbClr val="FFFFFF"/>
          </a:solidFill>
        </xdr:grpSpPr>
        <xdr:sp fLocksText="0">
          <xdr:nvSpPr>
            <xdr:cNvPr id="6" name="Text Box 11"/>
            <xdr:cNvSpPr txBox="1">
              <a:spLocks noChangeArrowheads="1"/>
            </xdr:cNvSpPr>
          </xdr:nvSpPr>
          <xdr:spPr>
            <a:xfrm>
              <a:off x="1426" y="39094"/>
              <a:ext cx="6180" cy="63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Raimundo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José Rodrigues do Nascimento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7" name="Text Box 12"/>
            <xdr:cNvSpPr txBox="1">
              <a:spLocks noChangeArrowheads="1"/>
            </xdr:cNvSpPr>
          </xdr:nvSpPr>
          <xdr:spPr>
            <a:xfrm>
              <a:off x="8676" y="39124"/>
              <a:ext cx="6118" cy="6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Délcio Rodrigues e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Silva Neto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 Geral do Município</a:t>
              </a:r>
            </a:p>
          </xdr:txBody>
        </xdr:sp>
        <xdr:sp fLocksText="0">
          <xdr:nvSpPr>
            <xdr:cNvPr id="8" name="Text Box 13"/>
            <xdr:cNvSpPr txBox="1">
              <a:spLocks noChangeArrowheads="1"/>
            </xdr:cNvSpPr>
          </xdr:nvSpPr>
          <xdr:spPr>
            <a:xfrm>
              <a:off x="16040" y="39064"/>
              <a:ext cx="6154" cy="74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" name="Group 14"/>
          <xdr:cNvGrpSpPr>
            <a:grpSpLocks/>
          </xdr:cNvGrpSpPr>
        </xdr:nvGrpSpPr>
        <xdr:grpSpPr>
          <a:xfrm>
            <a:off x="53" y="2677"/>
            <a:ext cx="1440" cy="122"/>
            <a:chOff x="118" y="2492"/>
            <a:chExt cx="1345" cy="98"/>
          </a:xfrm>
          <a:solidFill>
            <a:srgbClr val="FFFFFF"/>
          </a:solidFill>
        </xdr:grpSpPr>
        <xdr:sp fLocksText="0">
          <xdr:nvSpPr>
            <xdr:cNvPr id="10" name="Text Box 15"/>
            <xdr:cNvSpPr txBox="1">
              <a:spLocks noChangeArrowheads="1"/>
            </xdr:cNvSpPr>
          </xdr:nvSpPr>
          <xdr:spPr>
            <a:xfrm>
              <a:off x="118" y="2492"/>
              <a:ext cx="401" cy="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Text Box 16"/>
            <xdr:cNvSpPr txBox="1">
              <a:spLocks noChangeArrowheads="1"/>
            </xdr:cNvSpPr>
          </xdr:nvSpPr>
          <xdr:spPr>
            <a:xfrm>
              <a:off x="318" y="2494"/>
              <a:ext cx="395" cy="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Jairo Câmara de Carvalho Filho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Contador Geral do Município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2074</a:t>
              </a:r>
            </a:p>
          </xdr:txBody>
        </xdr:sp>
        <xdr:sp fLocksText="0">
          <xdr:nvSpPr>
            <xdr:cNvPr id="12" name="Text Box 17"/>
            <xdr:cNvSpPr txBox="1">
              <a:spLocks noChangeArrowheads="1"/>
            </xdr:cNvSpPr>
          </xdr:nvSpPr>
          <xdr:spPr>
            <a:xfrm>
              <a:off x="1064" y="2528"/>
              <a:ext cx="399" cy="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0</xdr:col>
      <xdr:colOff>771525</xdr:colOff>
      <xdr:row>5</xdr:row>
      <xdr:rowOff>19050</xdr:rowOff>
    </xdr:to>
    <xdr:pic>
      <xdr:nvPicPr>
        <xdr:cNvPr id="1" name="Figura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28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8</xdr:col>
      <xdr:colOff>219075</xdr:colOff>
      <xdr:row>49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0" y="10848975"/>
          <a:ext cx="8181975" cy="0"/>
          <a:chOff x="0" y="16775"/>
          <a:chExt cx="13568" cy="733"/>
        </a:xfrm>
        <a:solidFill>
          <a:srgbClr val="FFFFFF"/>
        </a:solidFill>
      </xdr:grpSpPr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0" y="10848975"/>
            <a:ext cx="396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José Mário Bittencourt Araújo           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Secretário Municipal da Fazenda</a:t>
            </a:r>
          </a:p>
        </xdr:txBody>
      </xdr:sp>
      <xdr:sp fLocksText="0">
        <xdr:nvSpPr>
          <xdr:cNvPr id="4" name="Text Box 4"/>
          <xdr:cNvSpPr txBox="1">
            <a:spLocks noChangeArrowheads="1"/>
          </xdr:cNvSpPr>
        </xdr:nvSpPr>
        <xdr:spPr>
          <a:xfrm>
            <a:off x="0" y="10848975"/>
            <a:ext cx="397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Maria Marphisa Barbosa Mont’alverne Frota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Controladora Geral do Município, em exercício</a:t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951927790" y="10848975"/>
            <a:ext cx="397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Getúlio Germano de Brito  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Superintendente de Contabilidade do Município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2268/0-8</a:t>
            </a:r>
          </a:p>
        </xdr:txBody>
      </xdr:sp>
    </xdr:grpSp>
    <xdr:clientData/>
  </xdr:twoCellAnchor>
  <xdr:twoCellAnchor>
    <xdr:from>
      <xdr:col>0</xdr:col>
      <xdr:colOff>9525</xdr:colOff>
      <xdr:row>47</xdr:row>
      <xdr:rowOff>95250</xdr:rowOff>
    </xdr:from>
    <xdr:to>
      <xdr:col>19</xdr:col>
      <xdr:colOff>9525</xdr:colOff>
      <xdr:row>58</xdr:row>
      <xdr:rowOff>95250</xdr:rowOff>
    </xdr:to>
    <xdr:grpSp>
      <xdr:nvGrpSpPr>
        <xdr:cNvPr id="6" name="Group 6"/>
        <xdr:cNvGrpSpPr>
          <a:grpSpLocks/>
        </xdr:cNvGrpSpPr>
      </xdr:nvGrpSpPr>
      <xdr:grpSpPr>
        <a:xfrm>
          <a:off x="9525" y="10620375"/>
          <a:ext cx="14335125" cy="1609725"/>
          <a:chOff x="52" y="2568"/>
          <a:chExt cx="1441" cy="169"/>
        </a:xfrm>
        <a:solidFill>
          <a:srgbClr val="FFFFFF"/>
        </a:solidFill>
      </xdr:grpSpPr>
      <xdr:grpSp>
        <xdr:nvGrpSpPr>
          <xdr:cNvPr id="7" name="Group 7"/>
          <xdr:cNvGrpSpPr>
            <a:grpSpLocks/>
          </xdr:cNvGrpSpPr>
        </xdr:nvGrpSpPr>
        <xdr:grpSpPr>
          <a:xfrm>
            <a:off x="90" y="2568"/>
            <a:ext cx="1273" cy="49"/>
            <a:chOff x="1413" y="39064"/>
            <a:chExt cx="20781" cy="740"/>
          </a:xfrm>
          <a:solidFill>
            <a:srgbClr val="FFFFFF"/>
          </a:solidFill>
        </xdr:grpSpPr>
        <xdr:sp fLocksText="0">
          <xdr:nvSpPr>
            <xdr:cNvPr id="8" name="Text Box 8"/>
            <xdr:cNvSpPr txBox="1">
              <a:spLocks noChangeArrowheads="1"/>
            </xdr:cNvSpPr>
          </xdr:nvSpPr>
          <xdr:spPr>
            <a:xfrm>
              <a:off x="1418" y="39094"/>
              <a:ext cx="6188" cy="63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Raimundo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José Rodrigues do Nascimento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9" name="Text Box 9"/>
            <xdr:cNvSpPr txBox="1">
              <a:spLocks noChangeArrowheads="1"/>
            </xdr:cNvSpPr>
          </xdr:nvSpPr>
          <xdr:spPr>
            <a:xfrm>
              <a:off x="8110" y="39124"/>
              <a:ext cx="6094" cy="6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Délcio Rodrigues e Silva Neto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 Geral do Município</a:t>
              </a:r>
            </a:p>
          </xdr:txBody>
        </xdr:sp>
        <xdr:sp fLocksText="0">
          <xdr:nvSpPr>
            <xdr:cNvPr id="10" name="Text Box 10"/>
            <xdr:cNvSpPr txBox="1">
              <a:spLocks noChangeArrowheads="1"/>
            </xdr:cNvSpPr>
          </xdr:nvSpPr>
          <xdr:spPr>
            <a:xfrm>
              <a:off x="16038" y="39064"/>
              <a:ext cx="6156" cy="74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" name="Group 11"/>
          <xdr:cNvGrpSpPr>
            <a:grpSpLocks/>
          </xdr:cNvGrpSpPr>
        </xdr:nvGrpSpPr>
        <xdr:grpSpPr>
          <a:xfrm>
            <a:off x="52" y="2640"/>
            <a:ext cx="1441" cy="97"/>
            <a:chOff x="117" y="2528"/>
            <a:chExt cx="1346" cy="80"/>
          </a:xfrm>
          <a:solidFill>
            <a:srgbClr val="FFFFFF"/>
          </a:solidFill>
        </xdr:grpSpPr>
        <xdr:sp>
          <xdr:nvSpPr>
            <xdr:cNvPr id="12" name="Text Box 12"/>
            <xdr:cNvSpPr txBox="1">
              <a:spLocks noChangeArrowheads="1"/>
            </xdr:cNvSpPr>
          </xdr:nvSpPr>
          <xdr:spPr>
            <a:xfrm>
              <a:off x="117" y="2533"/>
              <a:ext cx="401" cy="7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Text Box 13"/>
            <xdr:cNvSpPr txBox="1">
              <a:spLocks noChangeArrowheads="1"/>
            </xdr:cNvSpPr>
          </xdr:nvSpPr>
          <xdr:spPr>
            <a:xfrm>
              <a:off x="269" y="2540"/>
              <a:ext cx="472" cy="6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Jairo Câmara de Carvalho Filho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Contador Geral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2074</a:t>
              </a:r>
            </a:p>
          </xdr:txBody>
        </xdr:sp>
        <xdr:sp fLocksText="0">
          <xdr:nvSpPr>
            <xdr:cNvPr id="14" name="Text Box 14"/>
            <xdr:cNvSpPr txBox="1">
              <a:spLocks noChangeArrowheads="1"/>
            </xdr:cNvSpPr>
          </xdr:nvSpPr>
          <xdr:spPr>
            <a:xfrm>
              <a:off x="1064" y="2528"/>
              <a:ext cx="399" cy="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0</xdr:col>
      <xdr:colOff>704850</xdr:colOff>
      <xdr:row>5</xdr:row>
      <xdr:rowOff>57150</xdr:rowOff>
    </xdr:to>
    <xdr:pic>
      <xdr:nvPicPr>
        <xdr:cNvPr id="1" name="Figuras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6953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71</xdr:row>
      <xdr:rowOff>0</xdr:rowOff>
    </xdr:from>
    <xdr:to>
      <xdr:col>5</xdr:col>
      <xdr:colOff>0</xdr:colOff>
      <xdr:row>71</xdr:row>
      <xdr:rowOff>0</xdr:rowOff>
    </xdr:to>
    <xdr:grpSp>
      <xdr:nvGrpSpPr>
        <xdr:cNvPr id="2" name="Group 3"/>
        <xdr:cNvGrpSpPr>
          <a:grpSpLocks/>
        </xdr:cNvGrpSpPr>
      </xdr:nvGrpSpPr>
      <xdr:grpSpPr>
        <a:xfrm>
          <a:off x="47625" y="13639800"/>
          <a:ext cx="7077075" cy="0"/>
          <a:chOff x="81" y="21532"/>
          <a:chExt cx="15446" cy="716"/>
        </a:xfrm>
        <a:solidFill>
          <a:srgbClr val="FFFFFF"/>
        </a:solidFill>
      </xdr:grpSpPr>
      <xdr:sp fLocksText="0">
        <xdr:nvSpPr>
          <xdr:cNvPr id="3" name="Text Box 4"/>
          <xdr:cNvSpPr txBox="1">
            <a:spLocks noChangeArrowheads="1"/>
          </xdr:cNvSpPr>
        </xdr:nvSpPr>
        <xdr:spPr>
          <a:xfrm>
            <a:off x="174068318" y="13639800"/>
            <a:ext cx="459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José Mário Bittencourt Araújo           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Secretário Municipal da Fazenda</a:t>
            </a:r>
          </a:p>
        </xdr:txBody>
      </xdr:sp>
      <xdr:sp fLocksText="0">
        <xdr:nvSpPr>
          <xdr:cNvPr id="4" name="Text Box 5"/>
          <xdr:cNvSpPr txBox="1">
            <a:spLocks noChangeArrowheads="1"/>
          </xdr:cNvSpPr>
        </xdr:nvSpPr>
        <xdr:spPr>
          <a:xfrm>
            <a:off x="81" y="13639800"/>
            <a:ext cx="492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Maria Marphisa Barbosa Mont’alverne Frota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Controladora Geral do Município, em exercício</a:t>
            </a:r>
          </a:p>
        </xdr:txBody>
      </xdr:sp>
      <xdr:sp fLocksText="0">
        <xdr:nvSpPr>
          <xdr:cNvPr id="5" name="Text Box 6"/>
          <xdr:cNvSpPr txBox="1">
            <a:spLocks noChangeArrowheads="1"/>
          </xdr:cNvSpPr>
        </xdr:nvSpPr>
        <xdr:spPr>
          <a:xfrm>
            <a:off x="1793289149" y="13639800"/>
            <a:ext cx="4904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Getúlio Germano de Brito  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Superintendente de Contabilidade do Município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2268/0-8</a:t>
            </a:r>
          </a:p>
        </xdr:txBody>
      </xdr:sp>
    </xdr:grpSp>
    <xdr:clientData/>
  </xdr:twoCellAnchor>
  <xdr:twoCellAnchor>
    <xdr:from>
      <xdr:col>0</xdr:col>
      <xdr:colOff>228600</xdr:colOff>
      <xdr:row>68</xdr:row>
      <xdr:rowOff>161925</xdr:rowOff>
    </xdr:from>
    <xdr:to>
      <xdr:col>20</xdr:col>
      <xdr:colOff>257175</xdr:colOff>
      <xdr:row>82</xdr:row>
      <xdr:rowOff>171450</xdr:rowOff>
    </xdr:to>
    <xdr:grpSp>
      <xdr:nvGrpSpPr>
        <xdr:cNvPr id="6" name="Group 7"/>
        <xdr:cNvGrpSpPr>
          <a:grpSpLocks/>
        </xdr:cNvGrpSpPr>
      </xdr:nvGrpSpPr>
      <xdr:grpSpPr>
        <a:xfrm>
          <a:off x="228600" y="13258800"/>
          <a:ext cx="11134725" cy="2647950"/>
          <a:chOff x="51" y="2537"/>
          <a:chExt cx="1442" cy="244"/>
        </a:xfrm>
        <a:solidFill>
          <a:srgbClr val="FFFFFF"/>
        </a:solidFill>
      </xdr:grpSpPr>
      <xdr:grpSp>
        <xdr:nvGrpSpPr>
          <xdr:cNvPr id="7" name="Group 8"/>
          <xdr:cNvGrpSpPr>
            <a:grpSpLocks/>
          </xdr:cNvGrpSpPr>
        </xdr:nvGrpSpPr>
        <xdr:grpSpPr>
          <a:xfrm>
            <a:off x="194" y="2537"/>
            <a:ext cx="1168" cy="92"/>
            <a:chOff x="3132" y="39064"/>
            <a:chExt cx="19062" cy="1406"/>
          </a:xfrm>
          <a:solidFill>
            <a:srgbClr val="FFFFFF"/>
          </a:solidFill>
        </xdr:grpSpPr>
        <xdr:sp fLocksText="0">
          <xdr:nvSpPr>
            <xdr:cNvPr id="8" name="Text Box 9"/>
            <xdr:cNvSpPr txBox="1">
              <a:spLocks noChangeArrowheads="1"/>
            </xdr:cNvSpPr>
          </xdr:nvSpPr>
          <xdr:spPr>
            <a:xfrm>
              <a:off x="3132" y="39359"/>
              <a:ext cx="6424" cy="6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Raimundo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José Rodrigues do Nascimento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   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9" name="Text Box 10"/>
            <xdr:cNvSpPr txBox="1">
              <a:spLocks noChangeArrowheads="1"/>
            </xdr:cNvSpPr>
          </xdr:nvSpPr>
          <xdr:spPr>
            <a:xfrm>
              <a:off x="12253" y="39842"/>
              <a:ext cx="6119" cy="63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Délcio Rodrigues e Silva Neto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Geral do Município</a:t>
              </a:r>
            </a:p>
          </xdr:txBody>
        </xdr:sp>
        <xdr:sp fLocksText="0">
          <xdr:nvSpPr>
            <xdr:cNvPr id="10" name="Text Box 11"/>
            <xdr:cNvSpPr txBox="1">
              <a:spLocks noChangeArrowheads="1"/>
            </xdr:cNvSpPr>
          </xdr:nvSpPr>
          <xdr:spPr>
            <a:xfrm>
              <a:off x="16042" y="39064"/>
              <a:ext cx="6152" cy="74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" name="Group 12"/>
          <xdr:cNvGrpSpPr>
            <a:grpSpLocks/>
          </xdr:cNvGrpSpPr>
        </xdr:nvGrpSpPr>
        <xdr:grpSpPr>
          <a:xfrm>
            <a:off x="51" y="2703"/>
            <a:ext cx="1442" cy="78"/>
            <a:chOff x="116" y="2527"/>
            <a:chExt cx="1347" cy="63"/>
          </a:xfrm>
          <a:solidFill>
            <a:srgbClr val="FFFFFF"/>
          </a:solidFill>
        </xdr:grpSpPr>
        <xdr:sp>
          <xdr:nvSpPr>
            <xdr:cNvPr id="12" name="Text Box 13"/>
            <xdr:cNvSpPr txBox="1">
              <a:spLocks noChangeArrowheads="1"/>
            </xdr:cNvSpPr>
          </xdr:nvSpPr>
          <xdr:spPr>
            <a:xfrm>
              <a:off x="116" y="2531"/>
              <a:ext cx="401" cy="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</a:t>
              </a:r>
            </a:p>
          </xdr:txBody>
        </xdr:sp>
        <xdr:sp>
          <xdr:nvSpPr>
            <xdr:cNvPr id="13" name="Text Box 14"/>
            <xdr:cNvSpPr txBox="1">
              <a:spLocks noChangeArrowheads="1"/>
            </xdr:cNvSpPr>
          </xdr:nvSpPr>
          <xdr:spPr>
            <a:xfrm>
              <a:off x="493" y="2527"/>
              <a:ext cx="394" cy="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Jairo Câmara de Carvalho Filho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Contador Geral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2074</a:t>
              </a:r>
            </a:p>
          </xdr:txBody>
        </xdr:sp>
        <xdr:sp fLocksText="0">
          <xdr:nvSpPr>
            <xdr:cNvPr id="14" name="Text Box 15"/>
            <xdr:cNvSpPr txBox="1">
              <a:spLocks noChangeArrowheads="1"/>
            </xdr:cNvSpPr>
          </xdr:nvSpPr>
          <xdr:spPr>
            <a:xfrm>
              <a:off x="1064" y="2528"/>
              <a:ext cx="399" cy="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62</xdr:row>
      <xdr:rowOff>0</xdr:rowOff>
    </xdr:from>
    <xdr:to>
      <xdr:col>11</xdr:col>
      <xdr:colOff>0</xdr:colOff>
      <xdr:row>62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95300" y="15211425"/>
          <a:ext cx="10848975" cy="0"/>
          <a:chOff x="821" y="26691"/>
          <a:chExt cx="18538" cy="888"/>
        </a:xfrm>
        <a:solidFill>
          <a:srgbClr val="FFFFFF"/>
        </a:solidFill>
      </xdr:grpSpPr>
      <xdr:sp fLocksText="0">
        <xdr:nvSpPr>
          <xdr:cNvPr id="2" name="Text Box 2"/>
          <xdr:cNvSpPr txBox="1">
            <a:spLocks noChangeArrowheads="1"/>
          </xdr:cNvSpPr>
        </xdr:nvSpPr>
        <xdr:spPr>
          <a:xfrm>
            <a:off x="821" y="15211425"/>
            <a:ext cx="545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José Mário Bittencourt Araújo                 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Secretário Municipal da Fazenda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821" y="15211425"/>
            <a:ext cx="545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Maria Marphisa Barbosa Mont’alverne Frota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Controladora Geral do Município, em exercício</a:t>
            </a:r>
          </a:p>
        </xdr:txBody>
      </xdr:sp>
      <xdr:sp fLocksText="0">
        <xdr:nvSpPr>
          <xdr:cNvPr id="4" name="Text Box 4"/>
          <xdr:cNvSpPr txBox="1">
            <a:spLocks noChangeArrowheads="1"/>
          </xdr:cNvSpPr>
        </xdr:nvSpPr>
        <xdr:spPr>
          <a:xfrm>
            <a:off x="821" y="15211425"/>
            <a:ext cx="546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Getúlio Germano de Brito  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Superintendente de Contabilidade do Município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2268/0-8</a:t>
            </a:r>
          </a:p>
        </xdr:txBody>
      </xdr:sp>
    </xdr:grpSp>
    <xdr:clientData/>
  </xdr:twoCellAnchor>
  <xdr:twoCellAnchor>
    <xdr:from>
      <xdr:col>0</xdr:col>
      <xdr:colOff>57150</xdr:colOff>
      <xdr:row>0</xdr:row>
      <xdr:rowOff>47625</xdr:rowOff>
    </xdr:from>
    <xdr:to>
      <xdr:col>0</xdr:col>
      <xdr:colOff>752475</xdr:colOff>
      <xdr:row>5</xdr:row>
      <xdr:rowOff>9525</xdr:rowOff>
    </xdr:to>
    <xdr:pic>
      <xdr:nvPicPr>
        <xdr:cNvPr id="5" name="Figuras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6953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47625</xdr:rowOff>
    </xdr:from>
    <xdr:to>
      <xdr:col>0</xdr:col>
      <xdr:colOff>752475</xdr:colOff>
      <xdr:row>4</xdr:row>
      <xdr:rowOff>171450</xdr:rowOff>
    </xdr:to>
    <xdr:pic>
      <xdr:nvPicPr>
        <xdr:cNvPr id="1" name="Figuras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7625"/>
          <a:ext cx="571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87</xdr:row>
      <xdr:rowOff>47625</xdr:rowOff>
    </xdr:from>
    <xdr:to>
      <xdr:col>0</xdr:col>
      <xdr:colOff>752475</xdr:colOff>
      <xdr:row>91</xdr:row>
      <xdr:rowOff>76200</xdr:rowOff>
    </xdr:to>
    <xdr:pic>
      <xdr:nvPicPr>
        <xdr:cNvPr id="2" name="Figuras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783175"/>
          <a:ext cx="571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819150</xdr:colOff>
      <xdr:row>195</xdr:row>
      <xdr:rowOff>0</xdr:rowOff>
    </xdr:from>
    <xdr:to>
      <xdr:col>4</xdr:col>
      <xdr:colOff>285750</xdr:colOff>
      <xdr:row>195</xdr:row>
      <xdr:rowOff>0</xdr:rowOff>
    </xdr:to>
    <xdr:grpSp>
      <xdr:nvGrpSpPr>
        <xdr:cNvPr id="3" name="Group 8"/>
        <xdr:cNvGrpSpPr>
          <a:grpSpLocks/>
        </xdr:cNvGrpSpPr>
      </xdr:nvGrpSpPr>
      <xdr:grpSpPr>
        <a:xfrm>
          <a:off x="819150" y="42357675"/>
          <a:ext cx="7591425" cy="0"/>
          <a:chOff x="1359" y="50126"/>
          <a:chExt cx="12463" cy="722"/>
        </a:xfrm>
        <a:solidFill>
          <a:srgbClr val="FFFFFF"/>
        </a:solidFill>
      </xdr:grpSpPr>
      <xdr:sp fLocksText="0">
        <xdr:nvSpPr>
          <xdr:cNvPr id="4" name="Text Box 9"/>
          <xdr:cNvSpPr txBox="1">
            <a:spLocks noChangeArrowheads="1"/>
          </xdr:cNvSpPr>
        </xdr:nvSpPr>
        <xdr:spPr>
          <a:xfrm>
            <a:off x="1359" y="42357675"/>
            <a:ext cx="359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José Mário Bittencourt Araújo                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Secretário Municipal da Fazenda</a:t>
            </a:r>
          </a:p>
        </xdr:txBody>
      </xdr:sp>
      <xdr:sp fLocksText="0">
        <xdr:nvSpPr>
          <xdr:cNvPr id="5" name="Text Box 10"/>
          <xdr:cNvSpPr txBox="1">
            <a:spLocks noChangeArrowheads="1"/>
          </xdr:cNvSpPr>
        </xdr:nvSpPr>
        <xdr:spPr>
          <a:xfrm>
            <a:off x="1418706952" y="42357675"/>
            <a:ext cx="3645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Maria Marphisa B. Mont’alverne Frota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Controladora Geral do Município, em exercício</a:t>
            </a:r>
          </a:p>
        </xdr:txBody>
      </xdr:sp>
      <xdr:sp fLocksText="0">
        <xdr:nvSpPr>
          <xdr:cNvPr id="6" name="Text Box 11"/>
          <xdr:cNvSpPr txBox="1">
            <a:spLocks noChangeArrowheads="1"/>
          </xdr:cNvSpPr>
        </xdr:nvSpPr>
        <xdr:spPr>
          <a:xfrm>
            <a:off x="1612322884" y="42357675"/>
            <a:ext cx="359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Getúlio Germano de Brito  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Superintendente de Contabilidade do Município 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CRC-MA 2268/0-8</a:t>
            </a:r>
          </a:p>
        </xdr:txBody>
      </xdr:sp>
    </xdr:grpSp>
    <xdr:clientData/>
  </xdr:twoCellAnchor>
  <xdr:twoCellAnchor>
    <xdr:from>
      <xdr:col>0</xdr:col>
      <xdr:colOff>2028825</xdr:colOff>
      <xdr:row>195</xdr:row>
      <xdr:rowOff>76200</xdr:rowOff>
    </xdr:from>
    <xdr:to>
      <xdr:col>12</xdr:col>
      <xdr:colOff>228600</xdr:colOff>
      <xdr:row>205</xdr:row>
      <xdr:rowOff>152400</xdr:rowOff>
    </xdr:to>
    <xdr:grpSp>
      <xdr:nvGrpSpPr>
        <xdr:cNvPr id="7" name="Group 15"/>
        <xdr:cNvGrpSpPr>
          <a:grpSpLocks/>
        </xdr:cNvGrpSpPr>
      </xdr:nvGrpSpPr>
      <xdr:grpSpPr>
        <a:xfrm>
          <a:off x="2028825" y="42433875"/>
          <a:ext cx="12515850" cy="1781175"/>
          <a:chOff x="47" y="2575"/>
          <a:chExt cx="1446" cy="229"/>
        </a:xfrm>
        <a:solidFill>
          <a:srgbClr val="FFFFFF"/>
        </a:solidFill>
      </xdr:grpSpPr>
      <xdr:grpSp>
        <xdr:nvGrpSpPr>
          <xdr:cNvPr id="8" name="Group 16"/>
          <xdr:cNvGrpSpPr>
            <a:grpSpLocks/>
          </xdr:cNvGrpSpPr>
        </xdr:nvGrpSpPr>
        <xdr:grpSpPr>
          <a:xfrm>
            <a:off x="47" y="2575"/>
            <a:ext cx="1315" cy="95"/>
            <a:chOff x="692" y="39064"/>
            <a:chExt cx="21502" cy="1430"/>
          </a:xfrm>
          <a:solidFill>
            <a:srgbClr val="FFFFFF"/>
          </a:solidFill>
        </xdr:grpSpPr>
        <xdr:sp fLocksText="0">
          <xdr:nvSpPr>
            <xdr:cNvPr id="9" name="Text Box 17"/>
            <xdr:cNvSpPr txBox="1">
              <a:spLocks noChangeArrowheads="1"/>
            </xdr:cNvSpPr>
          </xdr:nvSpPr>
          <xdr:spPr>
            <a:xfrm>
              <a:off x="692" y="39506"/>
              <a:ext cx="6209" cy="83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Raimundo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José Rodrigues do Nascimento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Secretário Municipal da Fazenda</a:t>
              </a:r>
            </a:p>
          </xdr:txBody>
        </xdr:sp>
        <xdr:sp fLocksText="0">
          <xdr:nvSpPr>
            <xdr:cNvPr id="10" name="Text Box 18"/>
            <xdr:cNvSpPr txBox="1">
              <a:spLocks noChangeArrowheads="1"/>
            </xdr:cNvSpPr>
          </xdr:nvSpPr>
          <xdr:spPr>
            <a:xfrm>
              <a:off x="9545" y="39470"/>
              <a:ext cx="6133" cy="103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Délcio Rodrigues e Silva Neto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Controlador Geral do Município</a:t>
              </a:r>
            </a:p>
          </xdr:txBody>
        </xdr:sp>
        <xdr:sp fLocksText="0">
          <xdr:nvSpPr>
            <xdr:cNvPr id="11" name="Text Box 19"/>
            <xdr:cNvSpPr txBox="1">
              <a:spLocks noChangeArrowheads="1"/>
            </xdr:cNvSpPr>
          </xdr:nvSpPr>
          <xdr:spPr>
            <a:xfrm>
              <a:off x="16039" y="39064"/>
              <a:ext cx="6155" cy="74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" name="Group 20"/>
          <xdr:cNvGrpSpPr>
            <a:grpSpLocks/>
          </xdr:cNvGrpSpPr>
        </xdr:nvGrpSpPr>
        <xdr:grpSpPr>
          <a:xfrm>
            <a:off x="51" y="2653"/>
            <a:ext cx="1442" cy="151"/>
            <a:chOff x="116" y="2528"/>
            <a:chExt cx="1347" cy="124"/>
          </a:xfrm>
          <a:solidFill>
            <a:srgbClr val="FFFFFF"/>
          </a:solidFill>
        </xdr:grpSpPr>
        <xdr:sp fLocksText="0">
          <xdr:nvSpPr>
            <xdr:cNvPr id="13" name="Text Box 21"/>
            <xdr:cNvSpPr txBox="1">
              <a:spLocks noChangeArrowheads="1"/>
            </xdr:cNvSpPr>
          </xdr:nvSpPr>
          <xdr:spPr>
            <a:xfrm>
              <a:off x="116" y="2582"/>
              <a:ext cx="401" cy="7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Text Box 22"/>
            <xdr:cNvSpPr txBox="1">
              <a:spLocks noChangeArrowheads="1"/>
            </xdr:cNvSpPr>
          </xdr:nvSpPr>
          <xdr:spPr>
            <a:xfrm>
              <a:off x="354" y="2595"/>
              <a:ext cx="405" cy="5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Jairo Câmara de Carvalho Filho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Contador Geral do Município 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CRC-MA 2074</a:t>
              </a:r>
            </a:p>
          </xdr:txBody>
        </xdr:sp>
        <xdr:sp fLocksText="0">
          <xdr:nvSpPr>
            <xdr:cNvPr id="15" name="Text Box 23"/>
            <xdr:cNvSpPr txBox="1">
              <a:spLocks noChangeArrowheads="1"/>
            </xdr:cNvSpPr>
          </xdr:nvSpPr>
          <xdr:spPr>
            <a:xfrm>
              <a:off x="1064" y="2528"/>
              <a:ext cx="399" cy="6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180975</xdr:colOff>
      <xdr:row>172</xdr:row>
      <xdr:rowOff>85725</xdr:rowOff>
    </xdr:from>
    <xdr:to>
      <xdr:col>0</xdr:col>
      <xdr:colOff>752475</xdr:colOff>
      <xdr:row>176</xdr:row>
      <xdr:rowOff>200025</xdr:rowOff>
    </xdr:to>
    <xdr:pic>
      <xdr:nvPicPr>
        <xdr:cNvPr id="16" name="Figuras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7109400"/>
          <a:ext cx="571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89</xdr:row>
      <xdr:rowOff>57150</xdr:rowOff>
    </xdr:from>
    <xdr:to>
      <xdr:col>1</xdr:col>
      <xdr:colOff>190500</xdr:colOff>
      <xdr:row>89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19362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66675</xdr:rowOff>
    </xdr:from>
    <xdr:to>
      <xdr:col>0</xdr:col>
      <xdr:colOff>609600</xdr:colOff>
      <xdr:row>5</xdr:row>
      <xdr:rowOff>28575</xdr:rowOff>
    </xdr:to>
    <xdr:pic>
      <xdr:nvPicPr>
        <xdr:cNvPr id="2" name="Figuras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66675"/>
          <a:ext cx="466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97</xdr:row>
      <xdr:rowOff>219075</xdr:rowOff>
    </xdr:from>
    <xdr:to>
      <xdr:col>1</xdr:col>
      <xdr:colOff>57150</xdr:colOff>
      <xdr:row>103</xdr:row>
      <xdr:rowOff>9525</xdr:rowOff>
    </xdr:to>
    <xdr:pic>
      <xdr:nvPicPr>
        <xdr:cNvPr id="3" name="Figuras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7936825"/>
          <a:ext cx="514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48</xdr:row>
      <xdr:rowOff>0</xdr:rowOff>
    </xdr:from>
    <xdr:to>
      <xdr:col>1</xdr:col>
      <xdr:colOff>0</xdr:colOff>
      <xdr:row>52</xdr:row>
      <xdr:rowOff>171450</xdr:rowOff>
    </xdr:to>
    <xdr:pic>
      <xdr:nvPicPr>
        <xdr:cNvPr id="4" name="Figuras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3763625"/>
          <a:ext cx="5143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361950</xdr:colOff>
      <xdr:row>149</xdr:row>
      <xdr:rowOff>28575</xdr:rowOff>
    </xdr:from>
    <xdr:ext cx="2581275" cy="581025"/>
    <xdr:sp>
      <xdr:nvSpPr>
        <xdr:cNvPr id="5" name="CaixaDeTexto 5"/>
        <xdr:cNvSpPr txBox="1">
          <a:spLocks noChangeArrowheads="1"/>
        </xdr:cNvSpPr>
      </xdr:nvSpPr>
      <xdr:spPr>
        <a:xfrm>
          <a:off x="971550" y="39443025"/>
          <a:ext cx="25812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Raimundo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José Rodrigues do Nascimento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Secretário Municipal da Fazenda</a:t>
          </a:r>
        </a:p>
      </xdr:txBody>
    </xdr:sp>
    <xdr:clientData/>
  </xdr:oneCellAnchor>
  <xdr:oneCellAnchor>
    <xdr:from>
      <xdr:col>2</xdr:col>
      <xdr:colOff>819150</xdr:colOff>
      <xdr:row>149</xdr:row>
      <xdr:rowOff>133350</xdr:rowOff>
    </xdr:from>
    <xdr:ext cx="2047875" cy="390525"/>
    <xdr:sp>
      <xdr:nvSpPr>
        <xdr:cNvPr id="6" name="CaixaDeTexto 6"/>
        <xdr:cNvSpPr txBox="1">
          <a:spLocks noChangeArrowheads="1"/>
        </xdr:cNvSpPr>
      </xdr:nvSpPr>
      <xdr:spPr>
        <a:xfrm>
          <a:off x="4762500" y="39547800"/>
          <a:ext cx="20478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Délcio Rodrigues e Silva Neto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Controlador Gerel do Município</a:t>
          </a:r>
        </a:p>
      </xdr:txBody>
    </xdr:sp>
    <xdr:clientData/>
  </xdr:oneCellAnchor>
  <xdr:oneCellAnchor>
    <xdr:from>
      <xdr:col>1</xdr:col>
      <xdr:colOff>2495550</xdr:colOff>
      <xdr:row>155</xdr:row>
      <xdr:rowOff>142875</xdr:rowOff>
    </xdr:from>
    <xdr:ext cx="2114550" cy="533400"/>
    <xdr:sp>
      <xdr:nvSpPr>
        <xdr:cNvPr id="7" name="CaixaDeTexto 7"/>
        <xdr:cNvSpPr txBox="1">
          <a:spLocks noChangeArrowheads="1"/>
        </xdr:cNvSpPr>
      </xdr:nvSpPr>
      <xdr:spPr>
        <a:xfrm>
          <a:off x="3105150" y="40528875"/>
          <a:ext cx="21145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Jairo Câmara de Carvalho Fil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Contador Geral do Município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CRC-MA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2074</a:t>
          </a:r>
        </a:p>
      </xdr:txBody>
    </xdr:sp>
    <xdr:clientData/>
  </xdr:oneCellAnchor>
  <xdr:twoCellAnchor editAs="oneCell">
    <xdr:from>
      <xdr:col>0</xdr:col>
      <xdr:colOff>123825</xdr:colOff>
      <xdr:row>88</xdr:row>
      <xdr:rowOff>57150</xdr:rowOff>
    </xdr:from>
    <xdr:to>
      <xdr:col>1</xdr:col>
      <xdr:colOff>190500</xdr:colOff>
      <xdr:row>88</xdr:row>
      <xdr:rowOff>57150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47078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66675</xdr:rowOff>
    </xdr:from>
    <xdr:to>
      <xdr:col>0</xdr:col>
      <xdr:colOff>609600</xdr:colOff>
      <xdr:row>5</xdr:row>
      <xdr:rowOff>28575</xdr:rowOff>
    </xdr:to>
    <xdr:pic>
      <xdr:nvPicPr>
        <xdr:cNvPr id="9" name="Figuras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66675"/>
          <a:ext cx="466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561975</xdr:colOff>
      <xdr:row>149</xdr:row>
      <xdr:rowOff>19050</xdr:rowOff>
    </xdr:from>
    <xdr:ext cx="2114550" cy="266700"/>
    <xdr:sp fLocksText="0">
      <xdr:nvSpPr>
        <xdr:cNvPr id="10" name="CaixaDeTexto 12"/>
        <xdr:cNvSpPr txBox="1">
          <a:spLocks noChangeArrowheads="1"/>
        </xdr:cNvSpPr>
      </xdr:nvSpPr>
      <xdr:spPr>
        <a:xfrm>
          <a:off x="1171575" y="39433500"/>
          <a:ext cx="2114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819150</xdr:colOff>
      <xdr:row>148</xdr:row>
      <xdr:rowOff>133350</xdr:rowOff>
    </xdr:from>
    <xdr:ext cx="2047875" cy="266700"/>
    <xdr:sp fLocksText="0">
      <xdr:nvSpPr>
        <xdr:cNvPr id="11" name="CaixaDeTexto 13"/>
        <xdr:cNvSpPr txBox="1">
          <a:spLocks noChangeArrowheads="1"/>
        </xdr:cNvSpPr>
      </xdr:nvSpPr>
      <xdr:spPr>
        <a:xfrm>
          <a:off x="4762500" y="39385875"/>
          <a:ext cx="2047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2495550</xdr:colOff>
      <xdr:row>154</xdr:row>
      <xdr:rowOff>142875</xdr:rowOff>
    </xdr:from>
    <xdr:ext cx="2114550" cy="266700"/>
    <xdr:sp fLocksText="0">
      <xdr:nvSpPr>
        <xdr:cNvPr id="12" name="CaixaDeTexto 14"/>
        <xdr:cNvSpPr txBox="1">
          <a:spLocks noChangeArrowheads="1"/>
        </xdr:cNvSpPr>
      </xdr:nvSpPr>
      <xdr:spPr>
        <a:xfrm>
          <a:off x="3105150" y="40366950"/>
          <a:ext cx="2114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&#233;rgio\Desktop\Documents%20and%20Settings\All%20Users\Disco%20Virtual%202005\LRF\2004\AnexosRREO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air%202010\Or&#231;amento\LOA%202010\LRF\LRF%20-%203o%20bimest%202009\LRF\2008\REEO%2002_2008%20RRE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&#233;rgio\Desktop\LRF+2&#186;+BI%20-%2028-05-2010%20-%2018H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air%202010\Or&#231;amento\LOA%202010\LRF\LRF%20-%203o%20bimest%202009\LRF%206&#186;%20BIMESTRE%20RREO%202009%20-%2025-02-2010%20sergi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R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air%202010\LRF\LRF%204&#186;%20BIMESTRE%20RREO%202010%20-%20config%20assinaturas%20-%2013-10-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tero\Desktop\LRF%206&#186;%20BIMESTRE%20RREO%20201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RREO%20E%20RGF%202012\LRF%205&#186;%20BIMESTRE%20RREO%202012_PPP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LRF%201&#186;%20BIMESTRE%20RREO%20201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LRF%202&#186;%20BIMESTRE%20RREO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air%202010\Or&#231;amento\LOA%202010\LRF\Documents%20and%20Settings\All%20Users\Disco%20Virtual%202005\LRF\2004\AnexosRREO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&#233;rgio\Desktop\Documents%20and%20Settings\SergioHC.CLEARPATH\Desktop\Disco%20Virtual%202005\LRF\2005\12_2005%20RRE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air%202010\Or&#231;amento\LOA%202010\LRF\Documents%20and%20Settings\SergioHC.CLEARPATH\Desktop\Disco%20Virtual%202005\LRF\2005\12_2005%20RRE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&#233;rgio\Desktop\Documents%20and%20Settings\SergioHC.CLEARPATH\Desktop\Disco%20Virtual\LRF\2006\06_2006%20RRE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air%202010\Or&#231;amento\LOA%202010\LRF\Documents%20and%20Settings\SergioHC.CLEARPATH\Desktop\Disco%20Virtual\LRF\2006\06_2006%20RRE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&#233;rgio\Desktop\LRF\2008\REEO%2002_2008%20RRE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air%202010\Or&#231;amento\LOA%202010\LRF\LRF\2008\REEO%2002_2008%20RRE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S&#233;rgio\Desktop\LRF%20-%203o%20bimest%202009\LRF\2008\REEO%2002_2008%20RRE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nexo I_BAL ORC_"/>
      <sheetName val="Anexo II_DP FUNC"/>
      <sheetName val="Anexo III _ RCL"/>
      <sheetName val="Anexo V _ PREVID "/>
      <sheetName val="Anexo VI _ RES NOM"/>
      <sheetName val="Anexo VII _ RES PRIM"/>
      <sheetName val="Anexo XII_PROJ AT REG GERAL HIP"/>
      <sheetName val="Anexo IX _ RP"/>
      <sheetName val="Anexo X _ ENSINO"/>
      <sheetName val="Plan1"/>
      <sheetName val="Anexo XVII _ Simplificad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nexo II_DP FUNC"/>
      <sheetName val="Anexo VI _ RES NOM"/>
    </sheetNames>
    <sheetDataSet>
      <sheetData sheetId="0">
        <row r="122">
          <cell r="A122" t="str">
            <v>a) Despesas liquidadas, consideradas aquelas em que houve a entrega do material ou serviço, nos termos do art. 63 da Lei 4.320/64;</v>
          </cell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</row>
        <row r="123">
          <cell r="A123" t="str">
            <v>b) Despesas empenhadas mas não liquidadas, inscritas em Restos a Pagar não-processados, consideradas liquidadas no encerramento do exercício, por força do art.35, inciso II da Lei 4.320/64.</v>
          </cell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</row>
      </sheetData>
      <sheetData sheetId="1">
        <row r="43">
          <cell r="A43" t="str">
            <v>FONTE: SECRETARIA MUNICIPAL DA FAZENDA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nexo I_BAL ORC_"/>
      <sheetName val="Anexo II_DP FUNC "/>
      <sheetName val="Anexo III _ RCL"/>
      <sheetName val="Anexo V _ PREVID "/>
      <sheetName val="Anexo VI _ RES NOM"/>
      <sheetName val="Anexo VII _ RES PRIM"/>
      <sheetName val="Anexo IX _ RP"/>
      <sheetName val="Anexo X _ ENSINO"/>
      <sheetName val="Anexo XII_PROJ AT REG GERAL HIP"/>
      <sheetName val="Anexo XVI SAÚDE"/>
      <sheetName val="Anexo XVII _ Simplificado"/>
    </sheetNames>
    <sheetDataSet>
      <sheetData sheetId="5">
        <row r="68">
          <cell r="A68" t="str">
            <v>FONTE: SECRETARIA MUNICIPAL DA FAZENDA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nexo I_BAL ORC_"/>
      <sheetName val="Anexo II_DP FUNC"/>
      <sheetName val="Anexo III _ RCL"/>
      <sheetName val="Anexo V _ PREVID "/>
      <sheetName val="Anexo VI _ RES NOM"/>
      <sheetName val="Anexo VII _ RES PRIM"/>
      <sheetName val="Anexo IX _ RP"/>
      <sheetName val="Anexo X _ ENSINO"/>
      <sheetName val="Anexo XII_PROJ AT REG GERAL HIP"/>
      <sheetName val="Anexo XVII _ Simplificado"/>
    </sheetNames>
    <sheetDataSet>
      <sheetData sheetId="2">
        <row r="35">
          <cell r="A35" t="str">
            <v>FONTE: SECRETARIA MUNICIPAL DA FAZENDA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nexo I_BAL ORC"/>
      <sheetName val="Anexo II_DP FUNC"/>
      <sheetName val="Anexo III _ RCL"/>
      <sheetName val="Anexo V _ PREVID "/>
      <sheetName val="Anexo VI _ RES NOM"/>
      <sheetName val="Anexo VII _ RES PRIM"/>
      <sheetName val="Anexo XII_PROJ AT REG GERAL HIP"/>
      <sheetName val="Anexo IX _ RP"/>
      <sheetName val="Anexo X _ ENSINO"/>
      <sheetName val="Anexo XI _ OP CRED"/>
      <sheetName val="Anexo XIII _ RPPS"/>
      <sheetName val="Anexo XIV _ AL ATIVOS"/>
      <sheetName val="Anexo XVI _ SAÚDE "/>
      <sheetName val="Anexo XVII _PPP"/>
      <sheetName val="Anexo XVIII _ Simplificado"/>
    </sheetNames>
    <sheetDataSet>
      <sheetData sheetId="0">
        <row r="96">
          <cell r="A96" t="str">
            <v>FONTE: SECRETARIA MUNICIPAL DA FAZENDA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nexo I_BAL ORC"/>
      <sheetName val="Anexo II_DP FUNC"/>
      <sheetName val="Anexo III _ RCL"/>
      <sheetName val="Anexo V _ PREVID "/>
      <sheetName val="Anexo VI _ RES NOM"/>
      <sheetName val="Anexo VII _ RES PRIM"/>
      <sheetName val="Anexo XII_PROJ AT REG GERAL HIP"/>
      <sheetName val="Anexo IX _ RP"/>
      <sheetName val="Anexo X _ ENSINO"/>
      <sheetName val="Anexo XVIII _ Simplificado"/>
    </sheetNames>
    <sheetDataSet>
      <sheetData sheetId="4">
        <row r="44">
          <cell r="A44" t="str">
            <v>FONTE: SECRETARIA MUNICIPAL DA FAZENDA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nexo 1 _ BAL ORC"/>
      <sheetName val="Anexo 2 _ DP FUNC"/>
      <sheetName val="Anexo 3 _ RCL"/>
      <sheetName val="Anexo 4 _ PREVID "/>
      <sheetName val="Anexo 5 _ RES NOM"/>
      <sheetName val="Anexo 6 _ RES PRIM"/>
      <sheetName val="Anexo XII_PROJ AT REG GERAL HIP"/>
      <sheetName val="Anexo 7 _  RP"/>
      <sheetName val="Anexo 8 _ ENSINO"/>
      <sheetName val="Anexo 12 _ SAÚDE "/>
      <sheetName val="Anexo 13 _PPP"/>
      <sheetName val="Anexo 14 _ Simplificado"/>
    </sheetNames>
    <sheetDataSet>
      <sheetData sheetId="0">
        <row r="87">
          <cell r="F87">
            <v>0</v>
          </cell>
        </row>
        <row r="88">
          <cell r="F88">
            <v>0</v>
          </cell>
        </row>
        <row r="90">
          <cell r="F90">
            <v>0</v>
          </cell>
        </row>
        <row r="91">
          <cell r="F91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nexo 1 _ BAL ORC"/>
      <sheetName val="Anexo 2 _ DP FUNC"/>
      <sheetName val="Anexo 3 _ RCL"/>
      <sheetName val="Anexo 4 _ PREVID "/>
      <sheetName val="Anexo 5 _ RES NOM"/>
      <sheetName val="Anexo 6 _ RES PRIM"/>
      <sheetName val="Anexo XII_PROJ AT REG GERAL HIP"/>
      <sheetName val="Anexo 7 _  RP"/>
      <sheetName val="Anexo 8 _ ENSINO"/>
      <sheetName val="Anexo 12 _ SAÚDE "/>
      <sheetName val="Anexo 13 _PPP"/>
      <sheetName val="Anexo 14 _ Simplificado"/>
    </sheetNames>
    <sheetDataSet>
      <sheetData sheetId="0">
        <row r="12">
          <cell r="G12">
            <v>166243881.56</v>
          </cell>
        </row>
        <row r="13">
          <cell r="G13">
            <v>7427767.1899999995</v>
          </cell>
        </row>
        <row r="14">
          <cell r="G14">
            <v>0</v>
          </cell>
        </row>
        <row r="16">
          <cell r="G16">
            <v>22794621.11</v>
          </cell>
        </row>
        <row r="17">
          <cell r="G17">
            <v>23386654.37</v>
          </cell>
        </row>
        <row r="19">
          <cell r="G19">
            <v>53376.6</v>
          </cell>
        </row>
        <row r="20">
          <cell r="G20">
            <v>9758258.28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1878715.23</v>
          </cell>
        </row>
        <row r="25">
          <cell r="G25">
            <v>128070.2</v>
          </cell>
        </row>
        <row r="27">
          <cell r="G27">
            <v>510238276.23999995</v>
          </cell>
        </row>
        <row r="28">
          <cell r="G28">
            <v>10000</v>
          </cell>
        </row>
        <row r="29">
          <cell r="G29">
            <v>2583204.8</v>
          </cell>
        </row>
        <row r="31">
          <cell r="G31">
            <v>8963234.13</v>
          </cell>
        </row>
        <row r="32">
          <cell r="G32">
            <v>0</v>
          </cell>
        </row>
        <row r="33">
          <cell r="G33">
            <v>10692946.84</v>
          </cell>
        </row>
        <row r="34">
          <cell r="G34">
            <v>3388445.62</v>
          </cell>
        </row>
        <row r="37">
          <cell r="G37">
            <v>920248</v>
          </cell>
        </row>
        <row r="38">
          <cell r="G38">
            <v>1594371.32</v>
          </cell>
        </row>
        <row r="40">
          <cell r="G40">
            <v>0</v>
          </cell>
        </row>
        <row r="41">
          <cell r="G41">
            <v>41063.24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599658.14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26372824.9</v>
          </cell>
        </row>
        <row r="52">
          <cell r="G52">
            <v>0</v>
          </cell>
        </row>
        <row r="53">
          <cell r="G53">
            <v>0</v>
          </cell>
        </row>
        <row r="55">
          <cell r="G55">
            <v>0</v>
          </cell>
        </row>
        <row r="74">
          <cell r="E74">
            <v>737099420.3800001</v>
          </cell>
          <cell r="H74">
            <v>328270225.46000004</v>
          </cell>
        </row>
        <row r="75">
          <cell r="E75">
            <v>5285265.63</v>
          </cell>
          <cell r="H75">
            <v>2292141.03</v>
          </cell>
        </row>
        <row r="76">
          <cell r="E76">
            <v>698288500.53</v>
          </cell>
          <cell r="H76">
            <v>313345038.44</v>
          </cell>
        </row>
        <row r="78">
          <cell r="E78">
            <v>53140384.27</v>
          </cell>
          <cell r="H78">
            <v>19729385.1</v>
          </cell>
        </row>
        <row r="79">
          <cell r="E79">
            <v>0</v>
          </cell>
          <cell r="H79">
            <v>0</v>
          </cell>
        </row>
        <row r="80">
          <cell r="E80">
            <v>24237045.86</v>
          </cell>
          <cell r="H80">
            <v>8555247.57</v>
          </cell>
        </row>
        <row r="81">
          <cell r="E81">
            <v>0</v>
          </cell>
          <cell r="H81">
            <v>0</v>
          </cell>
        </row>
        <row r="82">
          <cell r="E82">
            <v>0</v>
          </cell>
          <cell r="H82">
            <v>0</v>
          </cell>
        </row>
        <row r="83">
          <cell r="E83">
            <v>68761081.06</v>
          </cell>
          <cell r="H83">
            <v>11667041.2</v>
          </cell>
        </row>
        <row r="89">
          <cell r="H89">
            <v>0</v>
          </cell>
        </row>
      </sheetData>
      <sheetData sheetId="1">
        <row r="18">
          <cell r="F18">
            <v>572721</v>
          </cell>
          <cell r="J18">
            <v>333933.12</v>
          </cell>
        </row>
        <row r="21">
          <cell r="F21">
            <v>25869492.89</v>
          </cell>
          <cell r="J21">
            <v>6503511.17</v>
          </cell>
        </row>
        <row r="22">
          <cell r="F22">
            <v>233681201.31</v>
          </cell>
          <cell r="J22">
            <v>79568422.97</v>
          </cell>
        </row>
        <row r="23">
          <cell r="F23">
            <v>1273148.32</v>
          </cell>
          <cell r="J23">
            <v>989502.1</v>
          </cell>
        </row>
        <row r="25">
          <cell r="F25">
            <v>5627123.7</v>
          </cell>
          <cell r="J25">
            <v>3262516.59</v>
          </cell>
        </row>
        <row r="26">
          <cell r="F26">
            <v>8000</v>
          </cell>
          <cell r="J26">
            <v>8000</v>
          </cell>
        </row>
        <row r="27">
          <cell r="F27">
            <v>4520313.62</v>
          </cell>
          <cell r="J27">
            <v>1265464.42</v>
          </cell>
        </row>
        <row r="28">
          <cell r="F28">
            <v>15014964.33</v>
          </cell>
          <cell r="J28">
            <v>4990800.54</v>
          </cell>
        </row>
        <row r="29">
          <cell r="F29">
            <v>0</v>
          </cell>
          <cell r="J29">
            <v>0</v>
          </cell>
        </row>
        <row r="33">
          <cell r="F33">
            <v>209979.72</v>
          </cell>
          <cell r="J33">
            <v>202179.72</v>
          </cell>
        </row>
        <row r="36">
          <cell r="F36">
            <v>14146991.61</v>
          </cell>
          <cell r="J36">
            <v>4925915.38</v>
          </cell>
        </row>
        <row r="39">
          <cell r="F39">
            <v>310621</v>
          </cell>
          <cell r="J39">
            <v>78652.4</v>
          </cell>
        </row>
        <row r="40">
          <cell r="F40">
            <v>9828577.41</v>
          </cell>
          <cell r="J40">
            <v>3799644.77</v>
          </cell>
        </row>
        <row r="44">
          <cell r="F44">
            <v>172600000</v>
          </cell>
          <cell r="J44">
            <v>59204947.34</v>
          </cell>
        </row>
        <row r="45">
          <cell r="F45">
            <v>7940530.94</v>
          </cell>
          <cell r="J45">
            <v>5286740.97</v>
          </cell>
        </row>
        <row r="47">
          <cell r="F47">
            <v>11763.66</v>
          </cell>
          <cell r="J47">
            <v>568.8</v>
          </cell>
        </row>
        <row r="48">
          <cell r="F48">
            <v>223049057.21</v>
          </cell>
          <cell r="J48">
            <v>75985769.94</v>
          </cell>
        </row>
        <row r="52">
          <cell r="F52">
            <v>50927696.95</v>
          </cell>
          <cell r="J52">
            <v>22280608.27</v>
          </cell>
        </row>
        <row r="53">
          <cell r="F53">
            <v>288984483.93</v>
          </cell>
          <cell r="J53">
            <v>114580960.03</v>
          </cell>
        </row>
        <row r="54">
          <cell r="F54">
            <v>4933690.59</v>
          </cell>
          <cell r="J54">
            <v>1827362.99</v>
          </cell>
        </row>
        <row r="55">
          <cell r="F55">
            <v>15939337.4</v>
          </cell>
          <cell r="J55">
            <v>5426715.37</v>
          </cell>
        </row>
        <row r="58">
          <cell r="F58">
            <v>0</v>
          </cell>
          <cell r="J58">
            <v>0</v>
          </cell>
        </row>
        <row r="59">
          <cell r="F59">
            <v>0</v>
          </cell>
          <cell r="J59">
            <v>0</v>
          </cell>
        </row>
        <row r="65">
          <cell r="F65">
            <v>150134523.38</v>
          </cell>
          <cell r="J65">
            <v>115114283.83</v>
          </cell>
        </row>
        <row r="66">
          <cell r="F66">
            <v>15174531.55</v>
          </cell>
          <cell r="J66">
            <v>10851415.93</v>
          </cell>
        </row>
        <row r="67">
          <cell r="F67">
            <v>6783337.42</v>
          </cell>
          <cell r="J67">
            <v>3717513.15</v>
          </cell>
        </row>
        <row r="68">
          <cell r="F68">
            <v>1594388.78</v>
          </cell>
          <cell r="J68">
            <v>1594388.78</v>
          </cell>
        </row>
        <row r="71">
          <cell r="F71">
            <v>9365273.11</v>
          </cell>
          <cell r="J71">
            <v>6682848.45</v>
          </cell>
        </row>
        <row r="73">
          <cell r="F73">
            <v>0</v>
          </cell>
          <cell r="J73">
            <v>0</v>
          </cell>
        </row>
        <row r="76">
          <cell r="F76">
            <v>1349180.58</v>
          </cell>
          <cell r="J76">
            <v>454715.47</v>
          </cell>
        </row>
        <row r="77">
          <cell r="F77">
            <v>1628988.18</v>
          </cell>
          <cell r="J77">
            <v>1379970.66</v>
          </cell>
        </row>
        <row r="78">
          <cell r="F78">
            <v>101890.29</v>
          </cell>
          <cell r="J78">
            <v>62707.84</v>
          </cell>
        </row>
        <row r="92">
          <cell r="F92">
            <v>2970435.29</v>
          </cell>
          <cell r="J92">
            <v>856561.36</v>
          </cell>
        </row>
        <row r="93">
          <cell r="F93">
            <v>725876.82</v>
          </cell>
          <cell r="J93">
            <v>419351.82</v>
          </cell>
        </row>
        <row r="95">
          <cell r="F95">
            <v>45346484.89</v>
          </cell>
          <cell r="J95">
            <v>14974635.45</v>
          </cell>
        </row>
        <row r="96">
          <cell r="F96">
            <v>27549887.42</v>
          </cell>
          <cell r="J96">
            <v>19707978.28</v>
          </cell>
        </row>
        <row r="97">
          <cell r="F97">
            <v>2418.28</v>
          </cell>
          <cell r="J97">
            <v>1646.08</v>
          </cell>
        </row>
        <row r="99">
          <cell r="F99">
            <v>0</v>
          </cell>
          <cell r="J99">
            <v>0</v>
          </cell>
        </row>
        <row r="101">
          <cell r="F101">
            <v>115937306.99</v>
          </cell>
          <cell r="J101">
            <v>75071484.5</v>
          </cell>
        </row>
        <row r="102">
          <cell r="F102">
            <v>3150610.21</v>
          </cell>
          <cell r="J102">
            <v>657177.93</v>
          </cell>
        </row>
        <row r="107">
          <cell r="F107">
            <v>0</v>
          </cell>
          <cell r="J107">
            <v>0</v>
          </cell>
        </row>
        <row r="110">
          <cell r="F110">
            <v>0</v>
          </cell>
          <cell r="J110">
            <v>0</v>
          </cell>
        </row>
        <row r="112">
          <cell r="F112">
            <v>698790</v>
          </cell>
          <cell r="J112">
            <v>147124.39</v>
          </cell>
        </row>
        <row r="115">
          <cell r="F115">
            <v>3201567.73</v>
          </cell>
          <cell r="J115">
            <v>1185685.2</v>
          </cell>
        </row>
        <row r="116">
          <cell r="F116">
            <v>2676230.11</v>
          </cell>
          <cell r="J116">
            <v>1816310</v>
          </cell>
        </row>
        <row r="118">
          <cell r="F118">
            <v>199820.11</v>
          </cell>
          <cell r="J118">
            <v>199820.11</v>
          </cell>
        </row>
        <row r="120">
          <cell r="F120">
            <v>6209563.29</v>
          </cell>
          <cell r="J120">
            <v>2045087.55</v>
          </cell>
        </row>
        <row r="122">
          <cell r="F122">
            <v>8928136.37</v>
          </cell>
          <cell r="J122">
            <v>4260098.63</v>
          </cell>
        </row>
        <row r="124">
          <cell r="F124">
            <v>3786476.94</v>
          </cell>
          <cell r="J124">
            <v>1387208.02</v>
          </cell>
        </row>
        <row r="126">
          <cell r="F126">
            <v>52841</v>
          </cell>
          <cell r="J126">
            <v>47261</v>
          </cell>
        </row>
        <row r="128">
          <cell r="F128">
            <v>25092495.74</v>
          </cell>
          <cell r="J128">
            <v>9830884.51</v>
          </cell>
        </row>
        <row r="129">
          <cell r="F129">
            <v>1019721.33</v>
          </cell>
          <cell r="J129">
            <v>988892.57</v>
          </cell>
        </row>
        <row r="130">
          <cell r="F130">
            <v>8920145.27</v>
          </cell>
          <cell r="J130">
            <v>8214769.2</v>
          </cell>
        </row>
        <row r="133">
          <cell r="F133">
            <v>0</v>
          </cell>
          <cell r="J133">
            <v>0</v>
          </cell>
        </row>
        <row r="135">
          <cell r="F135">
            <v>68761081.06</v>
          </cell>
          <cell r="J135">
            <v>11667041.2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exo VII _ RES PRIM"/>
      <sheetName val="Anexo X _ ENSINO"/>
      <sheetName val="Anexo I-BAL ORC."/>
      <sheetName val="Anexo II-DP FUNC"/>
      <sheetName val="Anexo III - RCL"/>
      <sheetName val="Anexo V - PREVID"/>
      <sheetName val="Anexo VI - RES NOM"/>
      <sheetName val="Anexo VII - RES PRIM"/>
      <sheetName val="Anexo IX - RP"/>
      <sheetName val="Anexo X - ENSINO"/>
      <sheetName val="Anexo XII-PROJ AT REG GERAL HIP"/>
      <sheetName val="Anexo XVII - Simplificad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nexo VII _ RES PRIM"/>
      <sheetName val="Anexo X _ ENSINO"/>
      <sheetName val="Anexo I-BAL ORC."/>
      <sheetName val="Anexo II-DP FUNC"/>
      <sheetName val="Anexo III - RCL"/>
      <sheetName val="Anexo V - PREVID"/>
      <sheetName val="Anexo VI - RES NOM"/>
      <sheetName val="Anexo VII - RES PRIM"/>
      <sheetName val="Anexo IX - RP"/>
      <sheetName val="Anexo X - ENSINO"/>
      <sheetName val="Anexo XII-PROJ AT REG GERAL HIP"/>
      <sheetName val="Anexo XVII - Simplificad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nexo X _ ENSINO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X111"/>
  <sheetViews>
    <sheetView showGridLines="0" view="pageBreakPreview" zoomScale="85" zoomScaleSheetLayoutView="85" zoomScalePageLayoutView="0" workbookViewId="0" topLeftCell="A1">
      <selection activeCell="L13" sqref="L13"/>
    </sheetView>
  </sheetViews>
  <sheetFormatPr defaultColWidth="6.140625" defaultRowHeight="15.75" customHeight="1"/>
  <cols>
    <col min="1" max="1" width="45.140625" style="32" customWidth="1"/>
    <col min="2" max="2" width="18.421875" style="2" customWidth="1"/>
    <col min="3" max="3" width="19.7109375" style="2" customWidth="1"/>
    <col min="4" max="4" width="18.00390625" style="2" bestFit="1" customWidth="1"/>
    <col min="5" max="5" width="18.28125" style="2" customWidth="1"/>
    <col min="6" max="6" width="19.421875" style="2" customWidth="1"/>
    <col min="7" max="7" width="17.421875" style="2" customWidth="1"/>
    <col min="8" max="8" width="19.421875" style="2" customWidth="1"/>
    <col min="9" max="9" width="18.7109375" style="2" customWidth="1"/>
    <col min="10" max="10" width="17.7109375" style="2" customWidth="1"/>
    <col min="11" max="11" width="18.421875" style="2" customWidth="1"/>
    <col min="12" max="12" width="18.57421875" style="1" bestFit="1" customWidth="1"/>
    <col min="13" max="13" width="32.7109375" style="3" bestFit="1" customWidth="1"/>
    <col min="14" max="15" width="17.140625" style="3" customWidth="1"/>
    <col min="16" max="17" width="4.00390625" style="1" customWidth="1"/>
    <col min="18" max="18" width="12.00390625" style="1" customWidth="1"/>
    <col min="19" max="16384" width="6.140625" style="1" customWidth="1"/>
  </cols>
  <sheetData>
    <row r="1" spans="1:12" ht="18.75" customHeight="1">
      <c r="A1" s="65" t="s">
        <v>0</v>
      </c>
      <c r="B1" s="65"/>
      <c r="C1" s="65"/>
      <c r="D1" s="65"/>
      <c r="E1" s="65"/>
      <c r="F1" s="433"/>
      <c r="G1" s="1401"/>
      <c r="H1" s="1401"/>
      <c r="I1" s="4"/>
      <c r="J1" s="65"/>
      <c r="K1" s="65"/>
      <c r="L1" s="5"/>
    </row>
    <row r="2" spans="1:12" ht="18.75" customHeight="1">
      <c r="A2" s="66" t="s">
        <v>1</v>
      </c>
      <c r="B2" s="66"/>
      <c r="C2" s="66"/>
      <c r="D2" s="66"/>
      <c r="E2" s="66"/>
      <c r="F2" s="434"/>
      <c r="G2" s="66"/>
      <c r="H2" s="66"/>
      <c r="I2" s="66"/>
      <c r="J2" s="66"/>
      <c r="K2" s="66"/>
      <c r="L2" s="5"/>
    </row>
    <row r="3" spans="1:12" ht="18.75" customHeight="1">
      <c r="A3" s="67" t="s">
        <v>2</v>
      </c>
      <c r="B3" s="67"/>
      <c r="C3" s="67"/>
      <c r="D3" s="67"/>
      <c r="E3" s="67"/>
      <c r="F3" s="435"/>
      <c r="G3" s="6"/>
      <c r="H3" s="605" t="s">
        <v>950</v>
      </c>
      <c r="I3" s="606"/>
      <c r="J3" s="606"/>
      <c r="K3" s="607"/>
      <c r="L3" s="5"/>
    </row>
    <row r="4" spans="1:12" ht="18.75" customHeight="1">
      <c r="A4" s="1408" t="s">
        <v>946</v>
      </c>
      <c r="B4" s="1408"/>
      <c r="C4" s="1408"/>
      <c r="D4" s="1408"/>
      <c r="E4" s="1408"/>
      <c r="F4" s="1408"/>
      <c r="G4" s="6"/>
      <c r="H4" s="541" t="s">
        <v>951</v>
      </c>
      <c r="I4" s="541"/>
      <c r="J4" s="7"/>
      <c r="K4" s="7"/>
      <c r="L4" s="5"/>
    </row>
    <row r="5" spans="1:12" ht="18.75" customHeight="1">
      <c r="A5" s="68" t="s">
        <v>646</v>
      </c>
      <c r="B5" s="6"/>
      <c r="C5" s="6"/>
      <c r="D5" s="6"/>
      <c r="E5" s="6"/>
      <c r="F5" s="6"/>
      <c r="G5" s="6"/>
      <c r="H5" s="480"/>
      <c r="I5" s="8"/>
      <c r="J5" s="9"/>
      <c r="K5" s="10" t="s">
        <v>538</v>
      </c>
      <c r="L5" s="382"/>
    </row>
    <row r="6" spans="1:12" ht="30.75" customHeight="1">
      <c r="A6" s="1440" t="s">
        <v>3</v>
      </c>
      <c r="B6" s="1411" t="s">
        <v>4</v>
      </c>
      <c r="C6" s="1411" t="s">
        <v>5</v>
      </c>
      <c r="D6" s="1409" t="s">
        <v>6</v>
      </c>
      <c r="E6" s="1409"/>
      <c r="F6" s="1409"/>
      <c r="G6" s="1409"/>
      <c r="H6" s="1409"/>
      <c r="I6" s="11"/>
      <c r="J6" s="12"/>
      <c r="K6" s="1301" t="s">
        <v>298</v>
      </c>
      <c r="L6" s="5"/>
    </row>
    <row r="7" spans="1:12" ht="13.5" customHeight="1">
      <c r="A7" s="1441"/>
      <c r="B7" s="1443"/>
      <c r="C7" s="1443"/>
      <c r="D7" s="1410" t="s">
        <v>7</v>
      </c>
      <c r="E7" s="1410"/>
      <c r="F7" s="13" t="s">
        <v>8</v>
      </c>
      <c r="G7" s="1411" t="s">
        <v>9</v>
      </c>
      <c r="H7" s="1411"/>
      <c r="I7" s="1411"/>
      <c r="J7" s="13" t="s">
        <v>8</v>
      </c>
      <c r="K7" s="13"/>
      <c r="L7" s="5"/>
    </row>
    <row r="8" spans="1:12" ht="15.75" customHeight="1">
      <c r="A8" s="1442"/>
      <c r="B8" s="1403"/>
      <c r="C8" s="14" t="s">
        <v>10</v>
      </c>
      <c r="D8" s="1412" t="s">
        <v>11</v>
      </c>
      <c r="E8" s="1412"/>
      <c r="F8" s="15" t="s">
        <v>12</v>
      </c>
      <c r="G8" s="1403" t="s">
        <v>13</v>
      </c>
      <c r="H8" s="1403"/>
      <c r="I8" s="1403"/>
      <c r="J8" s="15" t="s">
        <v>14</v>
      </c>
      <c r="K8" s="13" t="s">
        <v>15</v>
      </c>
      <c r="L8" s="5"/>
    </row>
    <row r="9" spans="1:13" ht="24" customHeight="1">
      <c r="A9" s="436" t="s">
        <v>796</v>
      </c>
      <c r="B9" s="16">
        <f>B10+B35</f>
        <v>2619499768</v>
      </c>
      <c r="C9" s="17">
        <f>C10+C35</f>
        <v>2643624738.13</v>
      </c>
      <c r="D9" s="1413">
        <f>D10+D35</f>
        <v>411594675.0200001</v>
      </c>
      <c r="E9" s="1414"/>
      <c r="F9" s="18">
        <f>D9/C9*100</f>
        <v>15.569330589300906</v>
      </c>
      <c r="G9" s="1415">
        <f>G10+G35</f>
        <v>1182297467.89</v>
      </c>
      <c r="H9" s="1415"/>
      <c r="I9" s="1415"/>
      <c r="J9" s="19">
        <f>G9/C9*100</f>
        <v>44.72259057184919</v>
      </c>
      <c r="K9" s="17">
        <f>K10+K35</f>
        <v>1461327270.2399998</v>
      </c>
      <c r="L9" s="548"/>
      <c r="M9" s="549"/>
    </row>
    <row r="10" spans="1:15" s="26" customFormat="1" ht="18.75" customHeight="1">
      <c r="A10" s="20" t="s">
        <v>16</v>
      </c>
      <c r="B10" s="21">
        <f>B11+B15+B18+B24+B26+B30</f>
        <v>2456541716</v>
      </c>
      <c r="C10" s="21">
        <f>C11+C15+C18+C24+C26+C30</f>
        <v>2480666686.13</v>
      </c>
      <c r="D10" s="1416">
        <f>D11+D15+D18+D24+D26+D30</f>
        <v>402840080.1000001</v>
      </c>
      <c r="E10" s="1416">
        <f>E11+E15+E18+E24+E26+E30</f>
        <v>0</v>
      </c>
      <c r="F10" s="22">
        <f>D10/C10*100</f>
        <v>16.23918611687637</v>
      </c>
      <c r="G10" s="1416">
        <f>G11+G15+G18+G24+G26+G30</f>
        <v>1170387532.2700002</v>
      </c>
      <c r="H10" s="1416"/>
      <c r="I10" s="1416"/>
      <c r="J10" s="21">
        <f>G10/C10*100</f>
        <v>47.18036239265502</v>
      </c>
      <c r="K10" s="23">
        <f>K11+K15+K18+K24+K26+K30</f>
        <v>1310279153.86</v>
      </c>
      <c r="L10" s="41"/>
      <c r="M10" s="25"/>
      <c r="N10" s="25"/>
      <c r="O10" s="25"/>
    </row>
    <row r="11" spans="1:15" s="26" customFormat="1" ht="18.75" customHeight="1">
      <c r="A11" s="532" t="s">
        <v>17</v>
      </c>
      <c r="B11" s="584">
        <f>B12+B13+B14</f>
        <v>652506865</v>
      </c>
      <c r="C11" s="21">
        <f>C12+C13+C14</f>
        <v>652506865</v>
      </c>
      <c r="D11" s="1417">
        <f>D12+D13+D14</f>
        <v>125943682.03999999</v>
      </c>
      <c r="E11" s="1417"/>
      <c r="F11" s="22">
        <f>D11/C11*100</f>
        <v>19.301510650006723</v>
      </c>
      <c r="G11" s="1418">
        <f>G12+G13+G14</f>
        <v>299615330.79</v>
      </c>
      <c r="H11" s="1418"/>
      <c r="I11" s="1418"/>
      <c r="J11" s="21">
        <f>G11/C11*100</f>
        <v>45.917575256468766</v>
      </c>
      <c r="K11" s="38">
        <f>K12+K13+K14</f>
        <v>352891534.21</v>
      </c>
      <c r="L11" s="589"/>
      <c r="M11" s="25"/>
      <c r="N11" s="25"/>
      <c r="O11" s="25"/>
    </row>
    <row r="12" spans="1:15" s="32" customFormat="1" ht="18.75" customHeight="1">
      <c r="A12" s="33" t="s">
        <v>18</v>
      </c>
      <c r="B12" s="27">
        <v>634982833</v>
      </c>
      <c r="C12" s="27">
        <f>B12</f>
        <v>634982833</v>
      </c>
      <c r="D12" s="1419">
        <f>G12-'[18]Anexo 1 _ BAL ORC'!G12</f>
        <v>123035793.00999999</v>
      </c>
      <c r="E12" s="1420"/>
      <c r="F12" s="28">
        <f>D12/C12*100</f>
        <v>19.376239264408586</v>
      </c>
      <c r="G12" s="1421">
        <f>289423937.02-144262.45</f>
        <v>289279674.57</v>
      </c>
      <c r="H12" s="1421"/>
      <c r="I12" s="1421"/>
      <c r="J12" s="27">
        <f>G12/C12*100</f>
        <v>45.557085882666684</v>
      </c>
      <c r="K12" s="29">
        <f>C12-G12</f>
        <v>345703158.43</v>
      </c>
      <c r="L12" s="381"/>
      <c r="M12" s="82"/>
      <c r="N12" s="31"/>
      <c r="O12" s="31"/>
    </row>
    <row r="13" spans="1:15" s="32" customFormat="1" ht="18.75" customHeight="1">
      <c r="A13" s="33" t="s">
        <v>19</v>
      </c>
      <c r="B13" s="27">
        <v>17524032</v>
      </c>
      <c r="C13" s="957">
        <f>B13</f>
        <v>17524032</v>
      </c>
      <c r="D13" s="1419">
        <f>G13-'[18]Anexo 1 _ BAL ORC'!G13</f>
        <v>2907889.030000001</v>
      </c>
      <c r="E13" s="1420"/>
      <c r="F13" s="28">
        <f>D13/C13*100</f>
        <v>16.59372129656007</v>
      </c>
      <c r="G13" s="1421">
        <f>10411838.3-76182.08</f>
        <v>10335656.22</v>
      </c>
      <c r="H13" s="1421"/>
      <c r="I13" s="1421"/>
      <c r="J13" s="27">
        <f>G13/C13*100</f>
        <v>58.97989811933692</v>
      </c>
      <c r="K13" s="29">
        <f>C13-G13</f>
        <v>7188375.779999999</v>
      </c>
      <c r="L13" s="30"/>
      <c r="M13" s="31"/>
      <c r="N13" s="31"/>
      <c r="O13" s="31"/>
    </row>
    <row r="14" spans="1:15" s="32" customFormat="1" ht="18.75" customHeight="1">
      <c r="A14" s="33" t="s">
        <v>20</v>
      </c>
      <c r="B14" s="34">
        <v>0</v>
      </c>
      <c r="C14" s="34">
        <f>B14</f>
        <v>0</v>
      </c>
      <c r="D14" s="1419">
        <f>G14-'[18]Anexo 1 _ BAL ORC'!G14</f>
        <v>0</v>
      </c>
      <c r="E14" s="1420"/>
      <c r="F14" s="926"/>
      <c r="G14" s="1421">
        <v>0</v>
      </c>
      <c r="H14" s="1421"/>
      <c r="I14" s="1421"/>
      <c r="J14" s="27">
        <v>0</v>
      </c>
      <c r="K14" s="29">
        <f>C14-G14</f>
        <v>0</v>
      </c>
      <c r="L14" s="30"/>
      <c r="M14" s="31"/>
      <c r="N14" s="31"/>
      <c r="O14" s="31"/>
    </row>
    <row r="15" spans="1:15" s="26" customFormat="1" ht="18.75" customHeight="1">
      <c r="A15" s="532" t="s">
        <v>22</v>
      </c>
      <c r="B15" s="21">
        <f>B16+B17</f>
        <v>137827629</v>
      </c>
      <c r="C15" s="21">
        <f>C16+C17</f>
        <v>137827629</v>
      </c>
      <c r="D15" s="1417">
        <f>D16+D17</f>
        <v>23149062.600000005</v>
      </c>
      <c r="E15" s="1417"/>
      <c r="F15" s="22">
        <f aca="true" t="shared" si="0" ref="F15:F20">D15/C15*100</f>
        <v>16.795661920586333</v>
      </c>
      <c r="G15" s="1418">
        <f>G16+G17</f>
        <v>69330338.08000001</v>
      </c>
      <c r="H15" s="1418"/>
      <c r="I15" s="1418"/>
      <c r="J15" s="21">
        <f aca="true" t="shared" si="1" ref="J15:J20">G15/C15*100</f>
        <v>50.30220615635782</v>
      </c>
      <c r="K15" s="38">
        <f>K16+K17</f>
        <v>68497290.91999999</v>
      </c>
      <c r="L15" s="24"/>
      <c r="M15" s="25"/>
      <c r="N15" s="25"/>
      <c r="O15" s="25"/>
    </row>
    <row r="16" spans="1:15" s="32" customFormat="1" ht="18.75" customHeight="1">
      <c r="A16" s="33" t="s">
        <v>23</v>
      </c>
      <c r="B16" s="27">
        <v>69590717</v>
      </c>
      <c r="C16" s="27">
        <f>B16</f>
        <v>69590717</v>
      </c>
      <c r="D16" s="1419">
        <f>G16-'[18]Anexo 1 _ BAL ORC'!G16</f>
        <v>11901177.770000003</v>
      </c>
      <c r="E16" s="1420"/>
      <c r="F16" s="28">
        <f t="shared" si="0"/>
        <v>17.101674308083368</v>
      </c>
      <c r="G16" s="1421">
        <v>34695798.88</v>
      </c>
      <c r="H16" s="1421"/>
      <c r="I16" s="1421"/>
      <c r="J16" s="27">
        <f t="shared" si="1"/>
        <v>49.85693548753062</v>
      </c>
      <c r="K16" s="29">
        <f>C16-G16</f>
        <v>34894918.12</v>
      </c>
      <c r="L16" s="30"/>
      <c r="M16" s="31"/>
      <c r="N16" s="31"/>
      <c r="O16" s="31"/>
    </row>
    <row r="17" spans="1:15" s="32" customFormat="1" ht="18.75" customHeight="1">
      <c r="A17" s="33" t="s">
        <v>801</v>
      </c>
      <c r="B17" s="27">
        <v>68236912</v>
      </c>
      <c r="C17" s="27">
        <f>B17</f>
        <v>68236912</v>
      </c>
      <c r="D17" s="1419">
        <f>G17-'[18]Anexo 1 _ BAL ORC'!G17</f>
        <v>11247884.830000002</v>
      </c>
      <c r="E17" s="1420"/>
      <c r="F17" s="28">
        <f t="shared" si="0"/>
        <v>16.48357831608793</v>
      </c>
      <c r="G17" s="1421">
        <v>34634539.2</v>
      </c>
      <c r="H17" s="1421"/>
      <c r="I17" s="1421"/>
      <c r="J17" s="27">
        <f t="shared" si="1"/>
        <v>50.75631089519409</v>
      </c>
      <c r="K17" s="29">
        <f>C17-G17</f>
        <v>33602372.8</v>
      </c>
      <c r="L17" s="30"/>
      <c r="M17" s="31"/>
      <c r="N17" s="31"/>
      <c r="O17" s="31"/>
    </row>
    <row r="18" spans="1:15" s="26" customFormat="1" ht="18.75" customHeight="1">
      <c r="A18" s="532" t="s">
        <v>24</v>
      </c>
      <c r="B18" s="21">
        <f>B19+B20+B23+B22+B21</f>
        <v>39189925</v>
      </c>
      <c r="C18" s="21">
        <f>C19+C20+C23+C22+C21</f>
        <v>39189925</v>
      </c>
      <c r="D18" s="1422">
        <f>SUM(D19:D23)</f>
        <v>6488100.240000002</v>
      </c>
      <c r="E18" s="1423"/>
      <c r="F18" s="22">
        <f t="shared" si="0"/>
        <v>16.555531147354845</v>
      </c>
      <c r="G18" s="1418">
        <f>SUM(G19:G23)</f>
        <v>18178450.35</v>
      </c>
      <c r="H18" s="1418"/>
      <c r="I18" s="1418"/>
      <c r="J18" s="21">
        <f t="shared" si="1"/>
        <v>46.38551962015748</v>
      </c>
      <c r="K18" s="38">
        <f>SUM(K19:K23)</f>
        <v>21011474.65</v>
      </c>
      <c r="L18" s="24"/>
      <c r="M18" s="25"/>
      <c r="N18" s="25"/>
      <c r="O18" s="25"/>
    </row>
    <row r="19" spans="1:15" s="32" customFormat="1" ht="18.75" customHeight="1">
      <c r="A19" s="33" t="s">
        <v>25</v>
      </c>
      <c r="B19" s="27">
        <v>257262</v>
      </c>
      <c r="C19" s="27">
        <f>B19</f>
        <v>257262</v>
      </c>
      <c r="D19" s="1419">
        <f>G19-'[18]Anexo 1 _ BAL ORC'!G19</f>
        <v>27117.71</v>
      </c>
      <c r="E19" s="1420"/>
      <c r="F19" s="28">
        <f t="shared" si="0"/>
        <v>10.540892164408268</v>
      </c>
      <c r="G19" s="1421">
        <v>80494.31</v>
      </c>
      <c r="H19" s="1421"/>
      <c r="I19" s="1421"/>
      <c r="J19" s="27">
        <f t="shared" si="1"/>
        <v>31.288845612643918</v>
      </c>
      <c r="K19" s="29">
        <f>C19-G19</f>
        <v>176767.69</v>
      </c>
      <c r="L19" s="30"/>
      <c r="M19" s="31"/>
      <c r="N19" s="31"/>
      <c r="O19" s="31"/>
    </row>
    <row r="20" spans="1:15" s="32" customFormat="1" ht="18.75" customHeight="1">
      <c r="A20" s="33" t="s">
        <v>26</v>
      </c>
      <c r="B20" s="27">
        <v>38812603</v>
      </c>
      <c r="C20" s="27">
        <f>B20</f>
        <v>38812603</v>
      </c>
      <c r="D20" s="1419">
        <f>G20-'[18]Anexo 1 _ BAL ORC'!G20</f>
        <v>8244730.390000002</v>
      </c>
      <c r="E20" s="1420"/>
      <c r="F20" s="28">
        <f t="shared" si="0"/>
        <v>21.24240517957531</v>
      </c>
      <c r="G20" s="1421">
        <v>18002988.67</v>
      </c>
      <c r="H20" s="1421"/>
      <c r="I20" s="1421"/>
      <c r="J20" s="27">
        <f t="shared" si="1"/>
        <v>46.38438877701658</v>
      </c>
      <c r="K20" s="29">
        <f>C20-G20</f>
        <v>20809614.33</v>
      </c>
      <c r="L20" s="381"/>
      <c r="M20" s="31"/>
      <c r="N20" s="31"/>
      <c r="O20" s="31"/>
    </row>
    <row r="21" spans="1:15" s="32" customFormat="1" ht="18.75" customHeight="1">
      <c r="A21" s="33" t="s">
        <v>27</v>
      </c>
      <c r="B21" s="27"/>
      <c r="C21" s="27"/>
      <c r="D21" s="1419">
        <f>G21-'[18]Anexo 1 _ BAL ORC'!G21</f>
        <v>0</v>
      </c>
      <c r="E21" s="1420"/>
      <c r="F21" s="926"/>
      <c r="G21" s="1421">
        <v>0</v>
      </c>
      <c r="H21" s="1421"/>
      <c r="I21" s="1421"/>
      <c r="J21" s="27">
        <v>0</v>
      </c>
      <c r="K21" s="29">
        <f aca="true" t="shared" si="2" ref="K21:K31">C21-G21</f>
        <v>0</v>
      </c>
      <c r="L21" s="30"/>
      <c r="M21" s="31"/>
      <c r="N21" s="31"/>
      <c r="O21" s="31"/>
    </row>
    <row r="22" spans="1:15" s="32" customFormat="1" ht="18.75" customHeight="1">
      <c r="A22" s="33" t="s">
        <v>28</v>
      </c>
      <c r="B22" s="34"/>
      <c r="C22" s="34"/>
      <c r="D22" s="1419">
        <f>G22-'[18]Anexo 1 _ BAL ORC'!G22</f>
        <v>0</v>
      </c>
      <c r="E22" s="1420"/>
      <c r="F22" s="926"/>
      <c r="G22" s="1421">
        <v>0</v>
      </c>
      <c r="H22" s="1421"/>
      <c r="I22" s="1421"/>
      <c r="J22" s="27">
        <v>0</v>
      </c>
      <c r="K22" s="29">
        <f t="shared" si="2"/>
        <v>0</v>
      </c>
      <c r="L22" s="30"/>
      <c r="M22" s="31"/>
      <c r="N22" s="31"/>
      <c r="O22" s="31"/>
    </row>
    <row r="23" spans="1:15" s="32" customFormat="1" ht="18.75" customHeight="1">
      <c r="A23" s="33" t="s">
        <v>29</v>
      </c>
      <c r="B23" s="34">
        <v>120060</v>
      </c>
      <c r="C23" s="27">
        <f>B23</f>
        <v>120060</v>
      </c>
      <c r="D23" s="1424">
        <f>G23-'[18]Anexo 1 _ BAL ORC'!G23</f>
        <v>-1783747.8599999999</v>
      </c>
      <c r="E23" s="1401"/>
      <c r="F23" s="28">
        <f aca="true" t="shared" si="3" ref="F23:F32">D23/C23*100</f>
        <v>-1485.7136931534233</v>
      </c>
      <c r="G23" s="1421">
        <v>94967.37</v>
      </c>
      <c r="H23" s="1421"/>
      <c r="I23" s="1421"/>
      <c r="J23" s="27">
        <f aca="true" t="shared" si="4" ref="J23:J32">G23/C23*100</f>
        <v>79.09992503748126</v>
      </c>
      <c r="K23" s="29">
        <f t="shared" si="2"/>
        <v>25092.630000000005</v>
      </c>
      <c r="L23" s="518"/>
      <c r="M23" s="31"/>
      <c r="N23" s="31"/>
      <c r="O23" s="31"/>
    </row>
    <row r="24" spans="1:15" s="26" customFormat="1" ht="18.75" customHeight="1">
      <c r="A24" s="532" t="s">
        <v>30</v>
      </c>
      <c r="B24" s="21">
        <f>B25</f>
        <v>150102</v>
      </c>
      <c r="C24" s="21">
        <f>C25</f>
        <v>150102</v>
      </c>
      <c r="D24" s="1417">
        <f>D25</f>
        <v>59727.03000000001</v>
      </c>
      <c r="E24" s="1417"/>
      <c r="F24" s="22">
        <f t="shared" si="3"/>
        <v>39.790962145740906</v>
      </c>
      <c r="G24" s="1418">
        <f>G25</f>
        <v>187797.23</v>
      </c>
      <c r="H24" s="1418"/>
      <c r="I24" s="1418"/>
      <c r="J24" s="21">
        <f t="shared" si="4"/>
        <v>125.11307644135321</v>
      </c>
      <c r="K24" s="38">
        <f>K25</f>
        <v>-37695.23000000001</v>
      </c>
      <c r="L24" s="24"/>
      <c r="M24" s="25"/>
      <c r="N24" s="25"/>
      <c r="O24" s="25"/>
    </row>
    <row r="25" spans="1:15" s="32" customFormat="1" ht="18.75" customHeight="1">
      <c r="A25" s="33" t="s">
        <v>31</v>
      </c>
      <c r="B25" s="27">
        <v>150102</v>
      </c>
      <c r="C25" s="27">
        <f>B25</f>
        <v>150102</v>
      </c>
      <c r="D25" s="1419">
        <f>G25-'[18]Anexo 1 _ BAL ORC'!G25</f>
        <v>59727.03000000001</v>
      </c>
      <c r="E25" s="1420"/>
      <c r="F25" s="28">
        <f t="shared" si="3"/>
        <v>39.790962145740906</v>
      </c>
      <c r="G25" s="1421">
        <v>187797.23</v>
      </c>
      <c r="H25" s="1421"/>
      <c r="I25" s="1421"/>
      <c r="J25" s="27">
        <f t="shared" si="4"/>
        <v>125.11307644135321</v>
      </c>
      <c r="K25" s="29">
        <f t="shared" si="2"/>
        <v>-37695.23000000001</v>
      </c>
      <c r="L25" s="30"/>
      <c r="M25" s="31"/>
      <c r="N25" s="31"/>
      <c r="O25" s="31"/>
    </row>
    <row r="26" spans="1:15" s="26" customFormat="1" ht="18.75" customHeight="1">
      <c r="A26" s="532" t="s">
        <v>32</v>
      </c>
      <c r="B26" s="21">
        <f>B27+B28+B29</f>
        <v>1563409516</v>
      </c>
      <c r="C26" s="21">
        <f>C27+C28+C29</f>
        <v>1587534486.13</v>
      </c>
      <c r="D26" s="1417">
        <f>D27+D28+D29</f>
        <v>236014683.2300001</v>
      </c>
      <c r="E26" s="1417"/>
      <c r="F26" s="22">
        <f t="shared" si="3"/>
        <v>14.866743701760022</v>
      </c>
      <c r="G26" s="1418">
        <f>SUM(G27:G29)</f>
        <v>748846164.2700001</v>
      </c>
      <c r="H26" s="1418"/>
      <c r="I26" s="1418"/>
      <c r="J26" s="21">
        <f t="shared" si="4"/>
        <v>47.17038721442165</v>
      </c>
      <c r="K26" s="38">
        <f>SUM(K27:K29)</f>
        <v>838688321.8599999</v>
      </c>
      <c r="L26" s="581"/>
      <c r="M26" s="593"/>
      <c r="N26" s="25"/>
      <c r="O26" s="25"/>
    </row>
    <row r="27" spans="1:15" s="32" customFormat="1" ht="18.75" customHeight="1">
      <c r="A27" s="33" t="s">
        <v>33</v>
      </c>
      <c r="B27" s="27">
        <f>1766861007-221883709</f>
        <v>1544977298</v>
      </c>
      <c r="C27" s="27">
        <f>B27</f>
        <v>1544977298</v>
      </c>
      <c r="D27" s="1419">
        <f>G27-'[18]Anexo 1 _ BAL ORC'!G27</f>
        <v>226252792.9500001</v>
      </c>
      <c r="E27" s="1420"/>
      <c r="F27" s="28">
        <f t="shared" si="3"/>
        <v>14.644408901210928</v>
      </c>
      <c r="G27" s="1421">
        <f>833976781.58-97485712.39</f>
        <v>736491069.19</v>
      </c>
      <c r="H27" s="1421"/>
      <c r="I27" s="1421"/>
      <c r="J27" s="27">
        <f t="shared" si="4"/>
        <v>47.67002532292226</v>
      </c>
      <c r="K27" s="29">
        <f t="shared" si="2"/>
        <v>808486228.81</v>
      </c>
      <c r="L27" s="36"/>
      <c r="M27" s="28"/>
      <c r="N27" s="31"/>
      <c r="O27" s="31"/>
    </row>
    <row r="28" spans="1:15" s="32" customFormat="1" ht="18.75" customHeight="1">
      <c r="A28" s="33" t="s">
        <v>34</v>
      </c>
      <c r="B28" s="27">
        <v>841200</v>
      </c>
      <c r="C28" s="27">
        <f>B28</f>
        <v>841200</v>
      </c>
      <c r="D28" s="1419">
        <f>G28-'[18]Anexo 1 _ BAL ORC'!G28</f>
        <v>0</v>
      </c>
      <c r="E28" s="1420"/>
      <c r="F28" s="28">
        <f t="shared" si="3"/>
        <v>0</v>
      </c>
      <c r="G28" s="1421">
        <v>10000</v>
      </c>
      <c r="H28" s="1421"/>
      <c r="I28" s="1421"/>
      <c r="J28" s="27">
        <f t="shared" si="4"/>
        <v>1.1887779362815025</v>
      </c>
      <c r="K28" s="29">
        <f t="shared" si="2"/>
        <v>831200</v>
      </c>
      <c r="L28" s="36"/>
      <c r="M28" s="576"/>
      <c r="N28" s="31"/>
      <c r="O28" s="31"/>
    </row>
    <row r="29" spans="1:15" s="32" customFormat="1" ht="18.75" customHeight="1">
      <c r="A29" s="33" t="s">
        <v>35</v>
      </c>
      <c r="B29" s="27">
        <v>17591018</v>
      </c>
      <c r="C29" s="27">
        <f>41685988.13+30000</f>
        <v>41715988.13</v>
      </c>
      <c r="D29" s="1419">
        <f>G29-'[18]Anexo 1 _ BAL ORC'!G29</f>
        <v>9761890.280000001</v>
      </c>
      <c r="E29" s="1420"/>
      <c r="F29" s="28">
        <f t="shared" si="3"/>
        <v>23.400836747721073</v>
      </c>
      <c r="G29" s="1421">
        <v>12345095.08</v>
      </c>
      <c r="H29" s="1421"/>
      <c r="I29" s="1421"/>
      <c r="J29" s="27">
        <f t="shared" si="4"/>
        <v>29.59319827575183</v>
      </c>
      <c r="K29" s="29">
        <f t="shared" si="2"/>
        <v>29370893.050000004</v>
      </c>
      <c r="L29" s="36"/>
      <c r="M29" s="576"/>
      <c r="N29" s="31"/>
      <c r="O29" s="31"/>
    </row>
    <row r="30" spans="1:15" s="26" customFormat="1" ht="18.75" customHeight="1">
      <c r="A30" s="532" t="s">
        <v>36</v>
      </c>
      <c r="B30" s="21">
        <f>B31+B32+B33+B34</f>
        <v>63457679</v>
      </c>
      <c r="C30" s="21">
        <f>C31+C32+C33+C34</f>
        <v>63457679</v>
      </c>
      <c r="D30" s="1425">
        <f>D31+D32+D33+D34</f>
        <v>11184824.96</v>
      </c>
      <c r="E30" s="1426"/>
      <c r="F30" s="22">
        <f>D30/C30*100</f>
        <v>17.62564458117039</v>
      </c>
      <c r="G30" s="1418">
        <f>G31+G32+G33+G34</f>
        <v>34229451.550000004</v>
      </c>
      <c r="H30" s="1418"/>
      <c r="I30" s="1418"/>
      <c r="J30" s="21">
        <f t="shared" si="4"/>
        <v>53.940598032272824</v>
      </c>
      <c r="K30" s="38">
        <f>K31+K32+K33+K34</f>
        <v>29228227.45</v>
      </c>
      <c r="L30" s="1014"/>
      <c r="M30" s="582"/>
      <c r="N30" s="376"/>
      <c r="O30" s="376"/>
    </row>
    <row r="31" spans="1:15" s="32" customFormat="1" ht="18.75" customHeight="1">
      <c r="A31" s="33" t="s">
        <v>37</v>
      </c>
      <c r="B31" s="27">
        <v>22098055</v>
      </c>
      <c r="C31" s="27">
        <f>B31</f>
        <v>22098055</v>
      </c>
      <c r="D31" s="1419">
        <f>G31-'[18]Anexo 1 _ BAL ORC'!G31</f>
        <v>5455354.58</v>
      </c>
      <c r="E31" s="1420"/>
      <c r="F31" s="28">
        <f t="shared" si="3"/>
        <v>24.687035035436377</v>
      </c>
      <c r="G31" s="1421">
        <v>14418588.71</v>
      </c>
      <c r="H31" s="1421"/>
      <c r="I31" s="1421"/>
      <c r="J31" s="27">
        <f t="shared" si="4"/>
        <v>65.2482252849855</v>
      </c>
      <c r="K31" s="29">
        <f t="shared" si="2"/>
        <v>7679466.289999999</v>
      </c>
      <c r="L31" s="374"/>
      <c r="M31" s="22"/>
      <c r="N31" s="31"/>
      <c r="O31" s="31"/>
    </row>
    <row r="32" spans="1:15" s="32" customFormat="1" ht="18.75" customHeight="1">
      <c r="A32" s="33" t="s">
        <v>38</v>
      </c>
      <c r="B32" s="27">
        <v>354096</v>
      </c>
      <c r="C32" s="27">
        <f>B32</f>
        <v>354096</v>
      </c>
      <c r="D32" s="1419">
        <f>G32-'[18]Anexo 1 _ BAL ORC'!G32</f>
        <v>376842.06</v>
      </c>
      <c r="E32" s="1420"/>
      <c r="F32" s="28">
        <f t="shared" si="3"/>
        <v>106.42369865799107</v>
      </c>
      <c r="G32" s="1421">
        <v>376842.06</v>
      </c>
      <c r="H32" s="1421"/>
      <c r="I32" s="1421"/>
      <c r="J32" s="27">
        <f t="shared" si="4"/>
        <v>106.42369865799107</v>
      </c>
      <c r="K32" s="29">
        <f>C32-G32</f>
        <v>-22746.059999999998</v>
      </c>
      <c r="L32" s="381"/>
      <c r="M32" s="31"/>
      <c r="N32" s="31"/>
      <c r="O32" s="31"/>
    </row>
    <row r="33" spans="1:15" s="32" customFormat="1" ht="18.75" customHeight="1">
      <c r="A33" s="33" t="s">
        <v>39</v>
      </c>
      <c r="B33" s="27">
        <v>33558462</v>
      </c>
      <c r="C33" s="27">
        <f>B33</f>
        <v>33558462</v>
      </c>
      <c r="D33" s="1419">
        <f>G33-'[18]Anexo 1 _ BAL ORC'!G33</f>
        <v>3024579.41</v>
      </c>
      <c r="E33" s="1420"/>
      <c r="F33" s="28">
        <f aca="true" t="shared" si="5" ref="F33:F45">D33/C33*100</f>
        <v>9.012866590846743</v>
      </c>
      <c r="G33" s="1421">
        <v>13717526.25</v>
      </c>
      <c r="H33" s="1421"/>
      <c r="I33" s="1421"/>
      <c r="J33" s="27">
        <f aca="true" t="shared" si="6" ref="J33:J39">G33/C33*100</f>
        <v>40.87650456090628</v>
      </c>
      <c r="K33" s="29">
        <f>C33-G33</f>
        <v>19840935.75</v>
      </c>
      <c r="L33" s="381"/>
      <c r="M33" s="31"/>
      <c r="N33" s="31"/>
      <c r="O33" s="31"/>
    </row>
    <row r="34" spans="1:15" s="32" customFormat="1" ht="18.75" customHeight="1">
      <c r="A34" s="33" t="s">
        <v>40</v>
      </c>
      <c r="B34" s="27">
        <v>7447066</v>
      </c>
      <c r="C34" s="27">
        <f>B34</f>
        <v>7447066</v>
      </c>
      <c r="D34" s="1419">
        <f>G34-'[18]Anexo 1 _ BAL ORC'!G34</f>
        <v>2328048.91</v>
      </c>
      <c r="E34" s="1420"/>
      <c r="F34" s="28">
        <f t="shared" si="5"/>
        <v>31.261290151047405</v>
      </c>
      <c r="G34" s="1421">
        <v>5716494.53</v>
      </c>
      <c r="H34" s="1421"/>
      <c r="I34" s="1421"/>
      <c r="J34" s="27">
        <f t="shared" si="6"/>
        <v>76.7617009168443</v>
      </c>
      <c r="K34" s="29">
        <f>C34-G34</f>
        <v>1730571.4699999997</v>
      </c>
      <c r="L34" s="1015"/>
      <c r="M34" s="375"/>
      <c r="N34" s="375"/>
      <c r="O34" s="375"/>
    </row>
    <row r="35" spans="1:15" s="26" customFormat="1" ht="18.75" customHeight="1">
      <c r="A35" s="20" t="s">
        <v>41</v>
      </c>
      <c r="B35" s="21">
        <f>B36+B39+B42+B46</f>
        <v>162958052</v>
      </c>
      <c r="C35" s="37">
        <f>C36+C39+C42+C46</f>
        <v>162958052</v>
      </c>
      <c r="D35" s="1417">
        <f>D36+D39+D42+D46</f>
        <v>8754594.92</v>
      </c>
      <c r="E35" s="1417"/>
      <c r="F35" s="22">
        <f t="shared" si="5"/>
        <v>5.372299688511249</v>
      </c>
      <c r="G35" s="1418">
        <f>G36+G39+G42</f>
        <v>11909935.620000001</v>
      </c>
      <c r="H35" s="1418"/>
      <c r="I35" s="1418"/>
      <c r="J35" s="23">
        <f t="shared" si="6"/>
        <v>7.308589832676694</v>
      </c>
      <c r="K35" s="1350">
        <f>K36+K39+K42+K46</f>
        <v>151048116.38</v>
      </c>
      <c r="L35" s="373"/>
      <c r="M35" s="25"/>
      <c r="N35" s="25"/>
      <c r="O35" s="25"/>
    </row>
    <row r="36" spans="1:15" s="26" customFormat="1" ht="18.75" customHeight="1">
      <c r="A36" s="532" t="s">
        <v>42</v>
      </c>
      <c r="B36" s="21">
        <f>B37+B38</f>
        <v>110193363</v>
      </c>
      <c r="C36" s="21">
        <f>C37+C38</f>
        <v>110193363</v>
      </c>
      <c r="D36" s="1422">
        <f>D37+D38</f>
        <v>8749617.27</v>
      </c>
      <c r="E36" s="1423"/>
      <c r="F36" s="22">
        <f t="shared" si="5"/>
        <v>7.940239803734822</v>
      </c>
      <c r="G36" s="1418">
        <f>G37+G38</f>
        <v>11264236.59</v>
      </c>
      <c r="H36" s="1418"/>
      <c r="I36" s="1418"/>
      <c r="J36" s="21">
        <f t="shared" si="6"/>
        <v>10.222245953234044</v>
      </c>
      <c r="K36" s="38">
        <f>K37+K38</f>
        <v>98929126.41</v>
      </c>
      <c r="L36" s="24"/>
      <c r="M36" s="25"/>
      <c r="N36" s="25"/>
      <c r="O36" s="25"/>
    </row>
    <row r="37" spans="1:15" s="32" customFormat="1" ht="18.75" customHeight="1">
      <c r="A37" s="33" t="s">
        <v>43</v>
      </c>
      <c r="B37" s="27">
        <v>65723346</v>
      </c>
      <c r="C37" s="27">
        <f>B37</f>
        <v>65723346</v>
      </c>
      <c r="D37" s="1419">
        <f>G37-'[18]Anexo 1 _ BAL ORC'!G37</f>
        <v>8749617.27</v>
      </c>
      <c r="E37" s="1420"/>
      <c r="F37" s="28">
        <f t="shared" si="5"/>
        <v>13.312799488327936</v>
      </c>
      <c r="G37" s="1421">
        <v>9669865.27</v>
      </c>
      <c r="H37" s="1421"/>
      <c r="I37" s="1421"/>
      <c r="J37" s="21">
        <f t="shared" si="6"/>
        <v>14.712983830738013</v>
      </c>
      <c r="K37" s="29">
        <f>C37-G37</f>
        <v>56053480.730000004</v>
      </c>
      <c r="L37" s="30"/>
      <c r="M37" s="31"/>
      <c r="N37" s="31"/>
      <c r="O37" s="31"/>
    </row>
    <row r="38" spans="1:15" s="32" customFormat="1" ht="18.75" customHeight="1">
      <c r="A38" s="33" t="s">
        <v>44</v>
      </c>
      <c r="B38" s="27">
        <v>44470017</v>
      </c>
      <c r="C38" s="27">
        <f>B38</f>
        <v>44470017</v>
      </c>
      <c r="D38" s="1419">
        <f>G38-'[18]Anexo 1 _ BAL ORC'!G38</f>
        <v>0</v>
      </c>
      <c r="E38" s="1420"/>
      <c r="F38" s="28">
        <f t="shared" si="5"/>
        <v>0</v>
      </c>
      <c r="G38" s="1421">
        <v>1594371.32</v>
      </c>
      <c r="H38" s="1421"/>
      <c r="I38" s="1421"/>
      <c r="J38" s="27">
        <f t="shared" si="6"/>
        <v>3.5852725669072716</v>
      </c>
      <c r="K38" s="29">
        <f>C38-G38</f>
        <v>42875645.68</v>
      </c>
      <c r="L38" s="30"/>
      <c r="M38" s="31"/>
      <c r="N38" s="31"/>
      <c r="O38" s="31"/>
    </row>
    <row r="39" spans="1:15" s="26" customFormat="1" ht="18.75" customHeight="1">
      <c r="A39" s="532" t="s">
        <v>45</v>
      </c>
      <c r="B39" s="574">
        <f>B40+B41</f>
        <v>1892</v>
      </c>
      <c r="C39" s="37">
        <f>C40+C41</f>
        <v>1892</v>
      </c>
      <c r="D39" s="1422">
        <f>D40+D41</f>
        <v>4977.6500000000015</v>
      </c>
      <c r="E39" s="1423"/>
      <c r="F39" s="28">
        <f t="shared" si="5"/>
        <v>263.0893234672305</v>
      </c>
      <c r="G39" s="1418">
        <f>G40+G41</f>
        <v>46040.89</v>
      </c>
      <c r="H39" s="1418"/>
      <c r="I39" s="1418"/>
      <c r="J39" s="27">
        <f t="shared" si="6"/>
        <v>2433.450845665962</v>
      </c>
      <c r="K39" s="38">
        <f>K40+K41</f>
        <v>-44148.89</v>
      </c>
      <c r="L39" s="24"/>
      <c r="M39" s="25"/>
      <c r="N39" s="25"/>
      <c r="O39" s="25"/>
    </row>
    <row r="40" spans="1:15" s="32" customFormat="1" ht="18.75" customHeight="1">
      <c r="A40" s="33" t="s">
        <v>46</v>
      </c>
      <c r="B40" s="34">
        <v>0</v>
      </c>
      <c r="C40" s="34">
        <v>0</v>
      </c>
      <c r="D40" s="1419">
        <f>G40-'[18]Anexo 1 _ BAL ORC'!G40</f>
        <v>0</v>
      </c>
      <c r="E40" s="1420"/>
      <c r="F40" s="28">
        <v>0</v>
      </c>
      <c r="G40" s="1421">
        <v>0</v>
      </c>
      <c r="H40" s="1421"/>
      <c r="I40" s="1421"/>
      <c r="J40" s="27">
        <v>0</v>
      </c>
      <c r="K40" s="29">
        <f aca="true" t="shared" si="7" ref="K40:K47">C40-G40</f>
        <v>0</v>
      </c>
      <c r="L40" s="30"/>
      <c r="M40" s="31"/>
      <c r="N40" s="31"/>
      <c r="O40" s="31"/>
    </row>
    <row r="41" spans="1:15" s="32" customFormat="1" ht="18.75" customHeight="1">
      <c r="A41" s="33" t="s">
        <v>47</v>
      </c>
      <c r="B41" s="34">
        <v>1892</v>
      </c>
      <c r="C41" s="34">
        <f>B41</f>
        <v>1892</v>
      </c>
      <c r="D41" s="1419">
        <f>G41-'[18]Anexo 1 _ BAL ORC'!G41</f>
        <v>4977.6500000000015</v>
      </c>
      <c r="E41" s="1420"/>
      <c r="F41" s="28">
        <f t="shared" si="5"/>
        <v>263.0893234672305</v>
      </c>
      <c r="G41" s="1421">
        <v>46040.89</v>
      </c>
      <c r="H41" s="1421"/>
      <c r="I41" s="1421"/>
      <c r="J41" s="27">
        <f>G41/C41*100</f>
        <v>2433.450845665962</v>
      </c>
      <c r="K41" s="29">
        <f t="shared" si="7"/>
        <v>-44148.89</v>
      </c>
      <c r="L41" s="30"/>
      <c r="M41" s="31"/>
      <c r="N41" s="31"/>
      <c r="O41" s="31"/>
    </row>
    <row r="42" spans="1:15" s="26" customFormat="1" ht="18.75" customHeight="1">
      <c r="A42" s="532" t="s">
        <v>48</v>
      </c>
      <c r="B42" s="37">
        <f>B43+B44+B45</f>
        <v>52762797</v>
      </c>
      <c r="C42" s="574">
        <f>C43+C44+C45</f>
        <v>52762797</v>
      </c>
      <c r="D42" s="1417">
        <f>D43+D44+D45</f>
        <v>0</v>
      </c>
      <c r="E42" s="1417"/>
      <c r="F42" s="926">
        <f t="shared" si="5"/>
        <v>0</v>
      </c>
      <c r="G42" s="1418">
        <f>G43+G44+G45</f>
        <v>599658.14</v>
      </c>
      <c r="H42" s="1418"/>
      <c r="I42" s="1418"/>
      <c r="J42" s="21">
        <f>G42/C42*100</f>
        <v>1.1365169666801402</v>
      </c>
      <c r="K42" s="583">
        <f>SUM(K43:K45)</f>
        <v>52163138.86</v>
      </c>
      <c r="L42" s="24"/>
      <c r="M42" s="25"/>
      <c r="N42" s="25"/>
      <c r="O42" s="25"/>
    </row>
    <row r="43" spans="1:15" s="32" customFormat="1" ht="18.75" customHeight="1">
      <c r="A43" s="33" t="s">
        <v>33</v>
      </c>
      <c r="B43" s="34">
        <v>0</v>
      </c>
      <c r="C43" s="34">
        <v>0</v>
      </c>
      <c r="D43" s="1419">
        <f>G43-'[18]Anexo 1 _ BAL ORC'!G43</f>
        <v>0</v>
      </c>
      <c r="E43" s="1420"/>
      <c r="F43" s="926"/>
      <c r="G43" s="1421">
        <v>0</v>
      </c>
      <c r="H43" s="1421"/>
      <c r="I43" s="1421"/>
      <c r="J43" s="27">
        <v>0</v>
      </c>
      <c r="K43" s="29">
        <f t="shared" si="7"/>
        <v>0</v>
      </c>
      <c r="L43" s="30"/>
      <c r="M43" s="31"/>
      <c r="N43" s="31"/>
      <c r="O43" s="31"/>
    </row>
    <row r="44" spans="1:15" s="32" customFormat="1" ht="18.75" customHeight="1">
      <c r="A44" s="33" t="s">
        <v>49</v>
      </c>
      <c r="B44" s="34"/>
      <c r="C44" s="27">
        <f>B44</f>
        <v>0</v>
      </c>
      <c r="D44" s="1419">
        <f>G44-'[18]Anexo 1 _ BAL ORC'!G44</f>
        <v>0</v>
      </c>
      <c r="E44" s="1420"/>
      <c r="F44" s="926"/>
      <c r="G44" s="1421">
        <v>0</v>
      </c>
      <c r="H44" s="1421"/>
      <c r="I44" s="1421"/>
      <c r="J44" s="34"/>
      <c r="K44" s="29">
        <f t="shared" si="7"/>
        <v>0</v>
      </c>
      <c r="L44" s="30"/>
      <c r="M44" s="31"/>
      <c r="N44" s="31"/>
      <c r="O44" s="31"/>
    </row>
    <row r="45" spans="1:15" s="32" customFormat="1" ht="18.75" customHeight="1">
      <c r="A45" s="33" t="s">
        <v>35</v>
      </c>
      <c r="B45" s="34">
        <v>52762797</v>
      </c>
      <c r="C45" s="27">
        <v>52762797</v>
      </c>
      <c r="D45" s="1419">
        <f>G45-'[18]Anexo 1 _ BAL ORC'!G45</f>
        <v>0</v>
      </c>
      <c r="E45" s="1420"/>
      <c r="F45" s="926">
        <f t="shared" si="5"/>
        <v>0</v>
      </c>
      <c r="G45" s="1421">
        <v>599658.14</v>
      </c>
      <c r="H45" s="1421"/>
      <c r="I45" s="1421"/>
      <c r="J45" s="27">
        <f>G45/C45*100</f>
        <v>1.1365169666801402</v>
      </c>
      <c r="K45" s="29">
        <f t="shared" si="7"/>
        <v>52163138.86</v>
      </c>
      <c r="L45" s="30"/>
      <c r="M45" s="31"/>
      <c r="N45" s="31"/>
      <c r="O45" s="31"/>
    </row>
    <row r="46" spans="1:15" s="26" customFormat="1" ht="18.75" customHeight="1">
      <c r="A46" s="532" t="s">
        <v>50</v>
      </c>
      <c r="B46" s="37">
        <f>B47</f>
        <v>0</v>
      </c>
      <c r="C46" s="37">
        <f>C47</f>
        <v>0</v>
      </c>
      <c r="D46" s="1419">
        <f>G46-'[18]Anexo 1 _ BAL ORC'!G46</f>
        <v>0</v>
      </c>
      <c r="E46" s="1420"/>
      <c r="F46" s="926"/>
      <c r="G46" s="1418">
        <f>G47</f>
        <v>0</v>
      </c>
      <c r="H46" s="1418"/>
      <c r="I46" s="1418"/>
      <c r="J46" s="21">
        <v>0</v>
      </c>
      <c r="K46" s="38">
        <f>K47</f>
        <v>0</v>
      </c>
      <c r="L46" s="24"/>
      <c r="M46" s="25"/>
      <c r="N46" s="25"/>
      <c r="O46" s="25"/>
    </row>
    <row r="47" spans="1:18" s="32" customFormat="1" ht="18.75" customHeight="1">
      <c r="A47" s="33" t="s">
        <v>51</v>
      </c>
      <c r="B47" s="34">
        <v>0</v>
      </c>
      <c r="C47" s="34">
        <v>0</v>
      </c>
      <c r="D47" s="1419">
        <f>G47-'[18]Anexo 1 _ BAL ORC'!G47</f>
        <v>0</v>
      </c>
      <c r="E47" s="1420"/>
      <c r="F47" s="926"/>
      <c r="G47" s="1421">
        <v>0</v>
      </c>
      <c r="H47" s="1421"/>
      <c r="I47" s="1421"/>
      <c r="J47" s="27">
        <v>0</v>
      </c>
      <c r="K47" s="29">
        <f t="shared" si="7"/>
        <v>0</v>
      </c>
      <c r="L47" s="30"/>
      <c r="M47" s="31"/>
      <c r="N47" s="31"/>
      <c r="O47" s="31"/>
      <c r="R47" s="39"/>
    </row>
    <row r="48" spans="1:15" s="32" customFormat="1" ht="18.75" customHeight="1">
      <c r="A48" s="20" t="s">
        <v>52</v>
      </c>
      <c r="B48" s="21">
        <v>82278831</v>
      </c>
      <c r="C48" s="21">
        <f>B48</f>
        <v>82278831</v>
      </c>
      <c r="D48" s="1427">
        <f>G48-'[18]Anexo 1 _ BAL ORC'!G48</f>
        <v>14511780.100000001</v>
      </c>
      <c r="E48" s="1426"/>
      <c r="F48" s="22">
        <f>D48/C48*100</f>
        <v>17.637319251655388</v>
      </c>
      <c r="G48" s="1428">
        <v>40884605</v>
      </c>
      <c r="H48" s="1429"/>
      <c r="I48" s="1430"/>
      <c r="J48" s="21">
        <f>G48/C48*100</f>
        <v>49.69030855579365</v>
      </c>
      <c r="K48" s="38">
        <f>C48-G48</f>
        <v>41394226</v>
      </c>
      <c r="L48" s="30"/>
      <c r="M48" s="31"/>
      <c r="N48" s="31"/>
      <c r="O48" s="31"/>
    </row>
    <row r="49" spans="1:15" s="26" customFormat="1" ht="18.75" customHeight="1">
      <c r="A49" s="40" t="s">
        <v>53</v>
      </c>
      <c r="B49" s="18">
        <f>B9+B48</f>
        <v>2701778599</v>
      </c>
      <c r="C49" s="18">
        <f>C9+C48</f>
        <v>2725903569.13</v>
      </c>
      <c r="D49" s="1431">
        <f>D10+D35+D48</f>
        <v>426106455.1200001</v>
      </c>
      <c r="E49" s="1431"/>
      <c r="F49" s="18">
        <f>D49/C49*100</f>
        <v>15.631750878700245</v>
      </c>
      <c r="G49" s="1432">
        <f>G10+G35+G48</f>
        <v>1223182072.89</v>
      </c>
      <c r="H49" s="1432"/>
      <c r="I49" s="1432"/>
      <c r="J49" s="18">
        <f>G49/C49*100</f>
        <v>44.872536458815055</v>
      </c>
      <c r="K49" s="19">
        <f>K9+K48</f>
        <v>1502721496.2399998</v>
      </c>
      <c r="L49" s="41"/>
      <c r="M49" s="22"/>
      <c r="N49" s="376"/>
      <c r="O49" s="376"/>
    </row>
    <row r="50" spans="1:15" s="26" customFormat="1" ht="18.75" customHeight="1">
      <c r="A50" s="42" t="s">
        <v>54</v>
      </c>
      <c r="B50" s="43">
        <f>B51+B54</f>
        <v>0</v>
      </c>
      <c r="C50" s="43">
        <f>C51+C54</f>
        <v>0</v>
      </c>
      <c r="D50" s="1433">
        <f>D51+D54</f>
        <v>0</v>
      </c>
      <c r="E50" s="1434"/>
      <c r="F50" s="575">
        <v>0</v>
      </c>
      <c r="G50" s="1418"/>
      <c r="H50" s="1418"/>
      <c r="I50" s="1418"/>
      <c r="J50" s="27">
        <v>0</v>
      </c>
      <c r="K50" s="43">
        <f>K51+K54</f>
        <v>0</v>
      </c>
      <c r="L50" s="623"/>
      <c r="M50" s="25"/>
      <c r="N50" s="25"/>
      <c r="O50" s="25"/>
    </row>
    <row r="51" spans="1:15" s="26" customFormat="1" ht="18.75" customHeight="1">
      <c r="A51" s="44" t="s">
        <v>43</v>
      </c>
      <c r="B51" s="45">
        <f>SUM(B52:B53)</f>
        <v>0</v>
      </c>
      <c r="C51" s="45">
        <f>SUM(C52:C53)</f>
        <v>0</v>
      </c>
      <c r="D51" s="1422">
        <f>SUM(D52:D53)</f>
        <v>0</v>
      </c>
      <c r="E51" s="1423"/>
      <c r="F51" s="37">
        <v>0</v>
      </c>
      <c r="G51" s="1418">
        <f>SUM(H52:H53)</f>
        <v>0</v>
      </c>
      <c r="H51" s="1418"/>
      <c r="I51" s="1418"/>
      <c r="J51" s="27">
        <v>0</v>
      </c>
      <c r="K51" s="45">
        <f>SUM(K52:K53)</f>
        <v>0</v>
      </c>
      <c r="L51" s="24"/>
      <c r="M51" s="25"/>
      <c r="N51" s="25"/>
      <c r="O51" s="25"/>
    </row>
    <row r="52" spans="1:15" s="32" customFormat="1" ht="18.75" customHeight="1">
      <c r="A52" s="47" t="s">
        <v>55</v>
      </c>
      <c r="B52" s="48">
        <v>0</v>
      </c>
      <c r="C52" s="48">
        <v>0</v>
      </c>
      <c r="D52" s="1419">
        <f>G52-'[18]Anexo 1 _ BAL ORC'!G52</f>
        <v>0</v>
      </c>
      <c r="E52" s="1420"/>
      <c r="F52" s="27">
        <v>0</v>
      </c>
      <c r="G52" s="1421">
        <v>0</v>
      </c>
      <c r="H52" s="1421"/>
      <c r="I52" s="1421"/>
      <c r="J52" s="27">
        <v>0</v>
      </c>
      <c r="K52" s="29">
        <v>0</v>
      </c>
      <c r="L52" s="30"/>
      <c r="M52" s="31"/>
      <c r="N52" s="31"/>
      <c r="O52" s="31"/>
    </row>
    <row r="53" spans="1:15" s="32" customFormat="1" ht="18.75" customHeight="1">
      <c r="A53" s="47" t="s">
        <v>56</v>
      </c>
      <c r="B53" s="48">
        <v>0</v>
      </c>
      <c r="C53" s="48">
        <v>0</v>
      </c>
      <c r="D53" s="1419">
        <f>G53-'[18]Anexo 1 _ BAL ORC'!G53</f>
        <v>0</v>
      </c>
      <c r="E53" s="1420"/>
      <c r="F53" s="27">
        <v>0</v>
      </c>
      <c r="G53" s="1421">
        <v>0</v>
      </c>
      <c r="H53" s="1421"/>
      <c r="I53" s="1421"/>
      <c r="J53" s="27">
        <v>0</v>
      </c>
      <c r="K53" s="29">
        <v>0</v>
      </c>
      <c r="L53" s="30"/>
      <c r="M53" s="31"/>
      <c r="N53" s="31"/>
      <c r="O53" s="31"/>
    </row>
    <row r="54" spans="1:15" s="32" customFormat="1" ht="18.75" customHeight="1">
      <c r="A54" s="44" t="s">
        <v>44</v>
      </c>
      <c r="B54" s="45">
        <f>SUM(B55:B56)</f>
        <v>0</v>
      </c>
      <c r="C54" s="45">
        <f>SUM(C55:C56)</f>
        <v>0</v>
      </c>
      <c r="D54" s="1422">
        <f>SUM(D55:D56)</f>
        <v>0</v>
      </c>
      <c r="E54" s="1423"/>
      <c r="F54" s="37">
        <v>0</v>
      </c>
      <c r="G54" s="1418">
        <f>SUM(H55:H56)</f>
        <v>0</v>
      </c>
      <c r="H54" s="1418"/>
      <c r="I54" s="1418"/>
      <c r="J54" s="27">
        <v>0</v>
      </c>
      <c r="K54" s="45">
        <f>SUM(K55:K56)</f>
        <v>0</v>
      </c>
      <c r="L54" s="49"/>
      <c r="M54" s="31"/>
      <c r="N54" s="31"/>
      <c r="O54" s="31"/>
    </row>
    <row r="55" spans="1:15" s="32" customFormat="1" ht="18.75" customHeight="1">
      <c r="A55" s="47" t="s">
        <v>55</v>
      </c>
      <c r="B55" s="48">
        <v>0</v>
      </c>
      <c r="C55" s="48">
        <v>0</v>
      </c>
      <c r="D55" s="1419">
        <f>G55-'[18]Anexo 1 _ BAL ORC'!G55</f>
        <v>0</v>
      </c>
      <c r="E55" s="1420"/>
      <c r="F55" s="27">
        <v>0</v>
      </c>
      <c r="G55" s="1421">
        <v>0</v>
      </c>
      <c r="H55" s="1421"/>
      <c r="I55" s="1421"/>
      <c r="J55" s="27">
        <v>0</v>
      </c>
      <c r="K55" s="29">
        <v>0</v>
      </c>
      <c r="L55" s="49"/>
      <c r="M55" s="31"/>
      <c r="N55" s="31"/>
      <c r="O55" s="31"/>
    </row>
    <row r="56" spans="1:15" s="32" customFormat="1" ht="18.75" customHeight="1">
      <c r="A56" s="47" t="s">
        <v>56</v>
      </c>
      <c r="B56" s="50">
        <v>0</v>
      </c>
      <c r="C56" s="50">
        <v>0</v>
      </c>
      <c r="D56" s="1419">
        <f>G56-'[18]Anexo 1 _ BAL ORC'!G56</f>
        <v>0</v>
      </c>
      <c r="E56" s="1420"/>
      <c r="F56" s="51">
        <v>0</v>
      </c>
      <c r="G56" s="1436"/>
      <c r="H56" s="1436"/>
      <c r="I56" s="1436"/>
      <c r="J56" s="27">
        <v>0</v>
      </c>
      <c r="K56" s="29">
        <v>0</v>
      </c>
      <c r="L56" s="49"/>
      <c r="M56" s="31"/>
      <c r="N56" s="31"/>
      <c r="O56" s="31"/>
    </row>
    <row r="57" spans="1:15" s="26" customFormat="1" ht="18.75" customHeight="1">
      <c r="A57" s="40" t="s">
        <v>57</v>
      </c>
      <c r="B57" s="19">
        <f>B49+B50</f>
        <v>2701778599</v>
      </c>
      <c r="C57" s="19">
        <f>C49+C50</f>
        <v>2725903569.13</v>
      </c>
      <c r="D57" s="1432">
        <f>D49+D50</f>
        <v>426106455.1200001</v>
      </c>
      <c r="E57" s="1432"/>
      <c r="F57" s="52">
        <f>D57/C57*100</f>
        <v>15.631750878700245</v>
      </c>
      <c r="G57" s="1437">
        <f>G49+G50</f>
        <v>1223182072.89</v>
      </c>
      <c r="H57" s="1438"/>
      <c r="I57" s="1439"/>
      <c r="J57" s="18">
        <f>G57/C57*100</f>
        <v>44.872536458815055</v>
      </c>
      <c r="K57" s="19">
        <f>K49+K50</f>
        <v>1502721496.2399998</v>
      </c>
      <c r="L57" s="24"/>
      <c r="M57" s="22"/>
      <c r="N57" s="25"/>
      <c r="O57" s="25"/>
    </row>
    <row r="58" spans="1:24" s="26" customFormat="1" ht="18.75" customHeight="1">
      <c r="A58" s="53" t="s">
        <v>58</v>
      </c>
      <c r="B58" s="43">
        <v>0</v>
      </c>
      <c r="C58" s="43">
        <v>0</v>
      </c>
      <c r="D58" s="1405">
        <v>0</v>
      </c>
      <c r="E58" s="1407"/>
      <c r="F58" s="54">
        <v>0</v>
      </c>
      <c r="G58" s="1405"/>
      <c r="H58" s="1406"/>
      <c r="I58" s="1407"/>
      <c r="J58" s="54">
        <v>0</v>
      </c>
      <c r="K58" s="55">
        <f>-G58</f>
        <v>0</v>
      </c>
      <c r="L58" s="56"/>
      <c r="M58" s="57"/>
      <c r="N58" s="57"/>
      <c r="O58" s="57"/>
      <c r="P58" s="56"/>
      <c r="Q58" s="56"/>
      <c r="R58" s="56"/>
      <c r="S58" s="56"/>
      <c r="T58" s="56"/>
      <c r="U58" s="56"/>
      <c r="V58" s="56"/>
      <c r="W58" s="56"/>
      <c r="X58" s="56"/>
    </row>
    <row r="59" spans="1:15" s="26" customFormat="1" ht="18.75" customHeight="1">
      <c r="A59" s="53" t="s">
        <v>59</v>
      </c>
      <c r="B59" s="58">
        <f>B57+B58</f>
        <v>2701778599</v>
      </c>
      <c r="C59" s="58">
        <f>C57+C58</f>
        <v>2725903569.13</v>
      </c>
      <c r="D59" s="1432">
        <f>D57+D58</f>
        <v>426106455.1200001</v>
      </c>
      <c r="E59" s="1432"/>
      <c r="F59" s="18">
        <f>D59/C59*100</f>
        <v>15.631750878700245</v>
      </c>
      <c r="G59" s="1432">
        <f>G57+G58</f>
        <v>1223182072.89</v>
      </c>
      <c r="H59" s="1432"/>
      <c r="I59" s="1432"/>
      <c r="J59" s="18">
        <f>G59/C59*100</f>
        <v>44.872536458815055</v>
      </c>
      <c r="K59" s="19">
        <f>K57+K58</f>
        <v>1502721496.2399998</v>
      </c>
      <c r="L59" s="24"/>
      <c r="M59" s="531"/>
      <c r="N59" s="25"/>
      <c r="O59" s="25"/>
    </row>
    <row r="60" spans="1:15" s="26" customFormat="1" ht="22.5" customHeight="1">
      <c r="A60" s="1356" t="s">
        <v>60</v>
      </c>
      <c r="B60" s="43"/>
      <c r="C60" s="43">
        <f>2729241275-C59</f>
        <v>3337705.8699998856</v>
      </c>
      <c r="D60" s="1446">
        <v>0</v>
      </c>
      <c r="E60" s="1446"/>
      <c r="F60" s="21">
        <v>0</v>
      </c>
      <c r="G60" s="1432"/>
      <c r="H60" s="1432"/>
      <c r="I60" s="1432"/>
      <c r="J60" s="60">
        <v>0</v>
      </c>
      <c r="K60" s="61"/>
      <c r="L60" s="623"/>
      <c r="M60" s="25"/>
      <c r="N60" s="25"/>
      <c r="O60" s="25"/>
    </row>
    <row r="61" spans="1:15" s="26" customFormat="1" ht="22.5" customHeight="1">
      <c r="A61" s="1357"/>
      <c r="B61" s="1358"/>
      <c r="C61" s="1358"/>
      <c r="D61" s="1386"/>
      <c r="E61" s="1387"/>
      <c r="F61" s="1359"/>
      <c r="G61" s="1355"/>
      <c r="H61" s="1355"/>
      <c r="I61" s="1361"/>
      <c r="J61" s="1363"/>
      <c r="K61" s="1362"/>
      <c r="L61" s="623"/>
      <c r="M61" s="25"/>
      <c r="N61" s="25"/>
      <c r="O61" s="25"/>
    </row>
    <row r="62" spans="1:15" s="26" customFormat="1" ht="22.5" customHeight="1">
      <c r="A62" s="1357"/>
      <c r="B62" s="1358"/>
      <c r="C62" s="1358"/>
      <c r="D62" s="1386"/>
      <c r="E62" s="1387"/>
      <c r="F62" s="1359"/>
      <c r="G62" s="1355"/>
      <c r="H62" s="1355"/>
      <c r="I62" s="1360"/>
      <c r="J62" s="1364"/>
      <c r="K62" s="22"/>
      <c r="L62" s="623"/>
      <c r="M62" s="25"/>
      <c r="N62" s="25"/>
      <c r="O62" s="25"/>
    </row>
    <row r="63" spans="1:15" s="32" customFormat="1" ht="18.75" customHeight="1">
      <c r="A63" s="62"/>
      <c r="B63" s="9"/>
      <c r="C63" s="9"/>
      <c r="D63" s="9"/>
      <c r="E63" s="9"/>
      <c r="F63" s="9"/>
      <c r="G63" s="63"/>
      <c r="H63" s="479"/>
      <c r="I63" s="63"/>
      <c r="J63" s="63"/>
      <c r="K63" s="63"/>
      <c r="L63" s="30"/>
      <c r="M63" s="31"/>
      <c r="N63" s="31"/>
      <c r="O63" s="31"/>
    </row>
    <row r="64" spans="1:15" s="32" customFormat="1" ht="18.75" customHeight="1">
      <c r="A64" s="64"/>
      <c r="B64" s="9"/>
      <c r="C64" s="9"/>
      <c r="D64" s="9"/>
      <c r="E64" s="9"/>
      <c r="F64" s="9" t="s">
        <v>61</v>
      </c>
      <c r="G64" s="9"/>
      <c r="H64" s="9"/>
      <c r="I64" s="9"/>
      <c r="J64" s="9"/>
      <c r="K64" s="9"/>
      <c r="L64" s="30"/>
      <c r="M64" s="31"/>
      <c r="N64" s="31"/>
      <c r="O64" s="31"/>
    </row>
    <row r="65" spans="1:15" s="32" customFormat="1" ht="18.75" customHeight="1">
      <c r="A65" s="1435" t="s">
        <v>802</v>
      </c>
      <c r="B65" s="1435"/>
      <c r="C65" s="1435"/>
      <c r="D65" s="1435"/>
      <c r="E65" s="1435"/>
      <c r="F65" s="1435"/>
      <c r="G65" s="65"/>
      <c r="H65" s="65"/>
      <c r="I65" s="65"/>
      <c r="J65" s="65"/>
      <c r="K65" s="65"/>
      <c r="L65" s="30"/>
      <c r="M65" s="31"/>
      <c r="N65" s="31"/>
      <c r="O65" s="31"/>
    </row>
    <row r="66" spans="1:15" s="32" customFormat="1" ht="18.75" customHeight="1">
      <c r="A66" s="1404" t="s">
        <v>803</v>
      </c>
      <c r="B66" s="1404"/>
      <c r="C66" s="1404"/>
      <c r="D66" s="1404"/>
      <c r="E66" s="1404"/>
      <c r="F66" s="1404"/>
      <c r="G66" s="66"/>
      <c r="H66" s="477"/>
      <c r="J66" s="477"/>
      <c r="K66" s="66"/>
      <c r="L66" s="30"/>
      <c r="M66" s="31"/>
      <c r="N66" s="31"/>
      <c r="O66" s="31"/>
    </row>
    <row r="67" spans="1:15" s="32" customFormat="1" ht="18.75" customHeight="1">
      <c r="A67" s="1404" t="s">
        <v>804</v>
      </c>
      <c r="B67" s="1404"/>
      <c r="C67" s="1404"/>
      <c r="D67" s="1404"/>
      <c r="E67" s="1404"/>
      <c r="F67" s="1404"/>
      <c r="G67" s="478"/>
      <c r="H67" s="476"/>
      <c r="I67" s="67"/>
      <c r="J67" s="67"/>
      <c r="K67" s="67"/>
      <c r="L67" s="30"/>
      <c r="M67" s="31"/>
      <c r="N67" s="31"/>
      <c r="O67" s="31"/>
    </row>
    <row r="68" spans="1:15" s="32" customFormat="1" ht="18.75" customHeight="1">
      <c r="A68" s="1408" t="str">
        <f>A4</f>
        <v>Referência: JANEIRO-JUNHO/2015; BIMESTRE: MAIO-JUNHO/2015</v>
      </c>
      <c r="B68" s="1408"/>
      <c r="C68" s="1408"/>
      <c r="D68" s="1408"/>
      <c r="E68" s="1408"/>
      <c r="F68" s="1408"/>
      <c r="G68" s="6"/>
      <c r="H68" s="1435" t="s">
        <v>950</v>
      </c>
      <c r="I68" s="1435"/>
      <c r="J68" s="1435"/>
      <c r="K68" s="65"/>
      <c r="L68" s="30"/>
      <c r="M68" s="31"/>
      <c r="N68" s="31"/>
      <c r="O68" s="31"/>
    </row>
    <row r="69" spans="1:23" s="32" customFormat="1" ht="18.75" customHeight="1">
      <c r="A69" s="68" t="s">
        <v>797</v>
      </c>
      <c r="B69" s="9"/>
      <c r="C69" s="9"/>
      <c r="D69" s="9"/>
      <c r="E69" s="9"/>
      <c r="F69" s="9"/>
      <c r="G69" s="9"/>
      <c r="H69" s="1293" t="str">
        <f>H4</f>
        <v>Data: 30/07/2015</v>
      </c>
      <c r="I69" s="9"/>
      <c r="J69" s="69"/>
      <c r="K69" s="10" t="s">
        <v>539</v>
      </c>
      <c r="L69" s="30"/>
      <c r="M69" s="4" t="s">
        <v>461</v>
      </c>
      <c r="N69" s="4"/>
      <c r="O69" s="4"/>
      <c r="P69" s="31"/>
      <c r="Q69" s="31"/>
      <c r="R69" s="31"/>
      <c r="S69" s="31"/>
      <c r="T69" s="31"/>
      <c r="U69" s="31"/>
      <c r="V69" s="31"/>
      <c r="W69" s="31"/>
    </row>
    <row r="70" spans="1:23" s="32" customFormat="1" ht="18.75" customHeight="1">
      <c r="A70" s="70"/>
      <c r="B70" s="71" t="s">
        <v>62</v>
      </c>
      <c r="C70" s="1292" t="s">
        <v>62</v>
      </c>
      <c r="D70" s="1393" t="s">
        <v>645</v>
      </c>
      <c r="E70" s="1394"/>
      <c r="F70" s="1395" t="s">
        <v>298</v>
      </c>
      <c r="G70" s="1398" t="s">
        <v>934</v>
      </c>
      <c r="H70" s="1399"/>
      <c r="I70" s="1390" t="s">
        <v>298</v>
      </c>
      <c r="J70" s="1388" t="s">
        <v>936</v>
      </c>
      <c r="K70" s="1445" t="s">
        <v>239</v>
      </c>
      <c r="L70" s="31"/>
      <c r="M70" s="540"/>
      <c r="N70" s="105"/>
      <c r="O70" s="527"/>
      <c r="P70" s="25"/>
      <c r="Q70" s="25"/>
      <c r="R70" s="31"/>
      <c r="S70" s="31"/>
      <c r="T70" s="31"/>
      <c r="U70" s="31"/>
      <c r="V70" s="31"/>
      <c r="W70" s="31"/>
    </row>
    <row r="71" spans="1:23" s="32" customFormat="1" ht="18.75" customHeight="1">
      <c r="A71" s="72"/>
      <c r="B71" s="73"/>
      <c r="C71" s="73"/>
      <c r="D71" s="73"/>
      <c r="E71" s="35"/>
      <c r="F71" s="1396"/>
      <c r="G71" s="1400"/>
      <c r="H71" s="1401"/>
      <c r="I71" s="1391"/>
      <c r="J71" s="1389"/>
      <c r="K71" s="1445"/>
      <c r="L71" s="31"/>
      <c r="M71" s="4"/>
      <c r="N71" s="4"/>
      <c r="O71" s="527"/>
      <c r="P71" s="25"/>
      <c r="Q71" s="25"/>
      <c r="R71" s="31"/>
      <c r="S71" s="31"/>
      <c r="T71" s="31"/>
      <c r="U71" s="31"/>
      <c r="V71" s="31"/>
      <c r="W71" s="31"/>
    </row>
    <row r="72" spans="1:23" s="32" customFormat="1" ht="18.75" customHeight="1">
      <c r="A72" s="74" t="s">
        <v>63</v>
      </c>
      <c r="B72" s="75" t="s">
        <v>64</v>
      </c>
      <c r="C72" s="75" t="s">
        <v>65</v>
      </c>
      <c r="D72" s="75" t="s">
        <v>102</v>
      </c>
      <c r="E72" s="13" t="s">
        <v>103</v>
      </c>
      <c r="F72" s="1397"/>
      <c r="G72" s="1402" t="s">
        <v>7</v>
      </c>
      <c r="H72" s="1300" t="s">
        <v>939</v>
      </c>
      <c r="I72" s="1392"/>
      <c r="J72" s="1389"/>
      <c r="K72" s="1445"/>
      <c r="L72" s="31"/>
      <c r="M72" s="4"/>
      <c r="N72" s="4"/>
      <c r="O72" s="527"/>
      <c r="P72" s="25"/>
      <c r="Q72" s="25"/>
      <c r="R72" s="31"/>
      <c r="S72" s="31"/>
      <c r="T72" s="31"/>
      <c r="U72" s="31"/>
      <c r="V72" s="31"/>
      <c r="W72" s="31"/>
    </row>
    <row r="73" spans="1:23" s="32" customFormat="1" ht="18.75" customHeight="1">
      <c r="A73" s="76"/>
      <c r="B73" s="77" t="s">
        <v>66</v>
      </c>
      <c r="C73" s="1288" t="s">
        <v>67</v>
      </c>
      <c r="D73" s="77"/>
      <c r="E73" s="1288" t="s">
        <v>932</v>
      </c>
      <c r="F73" s="1288" t="s">
        <v>933</v>
      </c>
      <c r="G73" s="1403"/>
      <c r="H73" s="99" t="s">
        <v>68</v>
      </c>
      <c r="I73" s="1294" t="s">
        <v>935</v>
      </c>
      <c r="J73" s="1295" t="s">
        <v>937</v>
      </c>
      <c r="K73" s="78" t="s">
        <v>938</v>
      </c>
      <c r="L73" s="31"/>
      <c r="M73" s="4"/>
      <c r="N73" s="4"/>
      <c r="O73" s="4"/>
      <c r="P73" s="31"/>
      <c r="Q73" s="31"/>
      <c r="R73" s="31"/>
      <c r="S73" s="31"/>
      <c r="T73" s="31"/>
      <c r="U73" s="31"/>
      <c r="V73" s="31"/>
      <c r="W73" s="31"/>
    </row>
    <row r="74" spans="1:23" s="32" customFormat="1" ht="18.75" customHeight="1">
      <c r="A74" s="20" t="s">
        <v>69</v>
      </c>
      <c r="B74" s="79">
        <f aca="true" t="shared" si="8" ref="B74:H74">B75+B79+B83+B84</f>
        <v>2701778599</v>
      </c>
      <c r="C74" s="79">
        <f>C75+C79+C83+C84</f>
        <v>2729241275</v>
      </c>
      <c r="D74" s="79">
        <f t="shared" si="8"/>
        <v>223015612.55999994</v>
      </c>
      <c r="E74" s="79">
        <f t="shared" si="8"/>
        <v>1741066229.23</v>
      </c>
      <c r="F74" s="79">
        <f t="shared" si="8"/>
        <v>988175045.7699999</v>
      </c>
      <c r="G74" s="79">
        <f t="shared" si="8"/>
        <v>370704050.49</v>
      </c>
      <c r="H74" s="79">
        <f t="shared" si="8"/>
        <v>1042896088.09</v>
      </c>
      <c r="I74" s="79">
        <f>I75+I79+I83</f>
        <v>1686345186.9099998</v>
      </c>
      <c r="J74" s="79">
        <f>J75+J79+J83</f>
        <v>908095348.6200001</v>
      </c>
      <c r="K74" s="81">
        <f>K75+K79+K83+K84</f>
        <v>0</v>
      </c>
      <c r="L74" s="82"/>
      <c r="M74" s="4"/>
      <c r="N74" s="4"/>
      <c r="O74" s="527"/>
      <c r="P74" s="25"/>
      <c r="Q74" s="25"/>
      <c r="R74" s="31"/>
      <c r="S74" s="31"/>
      <c r="T74" s="31"/>
      <c r="U74" s="31"/>
      <c r="V74" s="31"/>
      <c r="W74" s="31"/>
    </row>
    <row r="75" spans="1:23" s="26" customFormat="1" ht="18.75" customHeight="1">
      <c r="A75" s="83" t="s">
        <v>70</v>
      </c>
      <c r="B75" s="84">
        <f>B76+B77+B78</f>
        <v>2292741187.59</v>
      </c>
      <c r="C75" s="84">
        <f>C76+C77+C78</f>
        <v>2302959862.92</v>
      </c>
      <c r="D75" s="84">
        <f aca="true" t="shared" si="9" ref="D75:I75">D76+D77+D78</f>
        <v>180176187.19999993</v>
      </c>
      <c r="E75" s="84">
        <f t="shared" si="9"/>
        <v>1620849373.74</v>
      </c>
      <c r="F75" s="84">
        <f t="shared" si="9"/>
        <v>682110489.1799998</v>
      </c>
      <c r="G75" s="84">
        <f t="shared" si="9"/>
        <v>346410172.27</v>
      </c>
      <c r="H75" s="84">
        <f t="shared" si="9"/>
        <v>990317577.2</v>
      </c>
      <c r="I75" s="84">
        <f t="shared" si="9"/>
        <v>1312642285.7199998</v>
      </c>
      <c r="J75" s="85">
        <f>J76+J77+J78</f>
        <v>863057151.6700001</v>
      </c>
      <c r="K75" s="85">
        <f>K76+K77+K78</f>
        <v>0</v>
      </c>
      <c r="L75" s="82"/>
      <c r="M75" s="969"/>
      <c r="N75" s="4"/>
      <c r="O75" s="527"/>
      <c r="P75" s="25"/>
      <c r="Q75" s="25"/>
      <c r="R75" s="25"/>
      <c r="S75" s="25"/>
      <c r="T75" s="25"/>
      <c r="U75" s="25"/>
      <c r="V75" s="25"/>
      <c r="W75" s="25"/>
    </row>
    <row r="76" spans="1:23" s="26" customFormat="1" ht="18.75" customHeight="1">
      <c r="A76" s="86" t="s">
        <v>71</v>
      </c>
      <c r="B76" s="87">
        <f>1100243044.23-B85</f>
        <v>1100243044.23</v>
      </c>
      <c r="C76" s="87">
        <f>B76+101148457.2-90518731.78-C85</f>
        <v>1110872769.65</v>
      </c>
      <c r="D76" s="1377">
        <f>E76-'[18]Anexo 1 _ BAL ORC'!E74</f>
        <v>65821752.05999994</v>
      </c>
      <c r="E76" s="1326">
        <f>871682253.5-E85</f>
        <v>802921172.44</v>
      </c>
      <c r="F76" s="87">
        <f>C76-E76</f>
        <v>307951597.21000004</v>
      </c>
      <c r="G76" s="35">
        <f>H76-'[18]Anexo 1 _ BAL ORC'!H74</f>
        <v>189005456.43999994</v>
      </c>
      <c r="H76" s="524">
        <f>540752151.05-H85</f>
        <v>517275681.9</v>
      </c>
      <c r="I76" s="87">
        <f>C76-H76</f>
        <v>593597087.7500001</v>
      </c>
      <c r="J76" s="35">
        <f>502509088.39-J85</f>
        <v>502509088.39</v>
      </c>
      <c r="K76" s="88"/>
      <c r="L76" s="82"/>
      <c r="M76" s="4"/>
      <c r="N76" s="4"/>
      <c r="O76" s="527"/>
      <c r="P76" s="25"/>
      <c r="Q76" s="25"/>
      <c r="R76" s="25"/>
      <c r="S76" s="25"/>
      <c r="T76" s="25"/>
      <c r="U76" s="25"/>
      <c r="V76" s="25"/>
      <c r="W76" s="25"/>
    </row>
    <row r="77" spans="1:15" s="32" customFormat="1" ht="18.75" customHeight="1">
      <c r="A77" s="86" t="s">
        <v>72</v>
      </c>
      <c r="B77" s="87">
        <v>9955672</v>
      </c>
      <c r="C77" s="87">
        <f>B77</f>
        <v>9955672</v>
      </c>
      <c r="D77" s="1365">
        <f>E77-'[18]Anexo 1 _ BAL ORC'!E75</f>
        <v>1017709.4900000002</v>
      </c>
      <c r="E77" s="1326">
        <v>6302975.12</v>
      </c>
      <c r="F77" s="87">
        <f aca="true" t="shared" si="10" ref="F77:F85">C77-E77</f>
        <v>3652696.88</v>
      </c>
      <c r="G77" s="35">
        <f>H77-'[18]Anexo 1 _ BAL ORC'!H75</f>
        <v>1972458.9600000004</v>
      </c>
      <c r="H77" s="524">
        <v>4264599.99</v>
      </c>
      <c r="I77" s="87">
        <f>C77-H77</f>
        <v>5691072.01</v>
      </c>
      <c r="J77" s="35">
        <v>4264599.99</v>
      </c>
      <c r="K77" s="88"/>
      <c r="L77" s="82"/>
      <c r="M77" s="4"/>
      <c r="N77" s="4"/>
      <c r="O77" s="526"/>
    </row>
    <row r="78" spans="1:15" s="32" customFormat="1" ht="18.75" customHeight="1">
      <c r="A78" s="86" t="s">
        <v>73</v>
      </c>
      <c r="B78" s="87">
        <v>1182542471.36</v>
      </c>
      <c r="C78" s="87">
        <f>B78+97227313.6-97638363.69</f>
        <v>1182131421.2699997</v>
      </c>
      <c r="D78" s="1365">
        <f>E78-'[18]Anexo 1 _ BAL ORC'!E76</f>
        <v>113336725.64999998</v>
      </c>
      <c r="E78" s="1326">
        <v>811625226.18</v>
      </c>
      <c r="F78" s="87">
        <f t="shared" si="10"/>
        <v>370506195.0899998</v>
      </c>
      <c r="G78" s="35">
        <f>H78-'[18]Anexo 1 _ BAL ORC'!H76</f>
        <v>155432256.87</v>
      </c>
      <c r="H78" s="524">
        <v>468777295.31</v>
      </c>
      <c r="I78" s="87">
        <f>C78-H78</f>
        <v>713354125.9599998</v>
      </c>
      <c r="J78" s="35">
        <v>356283463.29</v>
      </c>
      <c r="K78" s="88"/>
      <c r="L78" s="82"/>
      <c r="M78" s="4"/>
      <c r="N78" s="4"/>
      <c r="O78" s="526"/>
    </row>
    <row r="79" spans="1:15" s="89" customFormat="1" ht="18.75" customHeight="1">
      <c r="A79" s="83" t="s">
        <v>74</v>
      </c>
      <c r="B79" s="84">
        <f aca="true" t="shared" si="11" ref="B79:I79">B80+B81+B82</f>
        <v>329442097.41</v>
      </c>
      <c r="C79" s="84">
        <f t="shared" si="11"/>
        <v>356686098.08000004</v>
      </c>
      <c r="D79" s="520">
        <f t="shared" si="11"/>
        <v>42839425.36</v>
      </c>
      <c r="E79" s="84">
        <f t="shared" si="11"/>
        <v>120216855.49000001</v>
      </c>
      <c r="F79" s="84">
        <f t="shared" si="11"/>
        <v>236469242.59000003</v>
      </c>
      <c r="G79" s="84">
        <f t="shared" si="11"/>
        <v>24293878.22</v>
      </c>
      <c r="H79" s="520">
        <f t="shared" si="11"/>
        <v>52578510.89</v>
      </c>
      <c r="I79" s="84">
        <f t="shared" si="11"/>
        <v>304107587.19000006</v>
      </c>
      <c r="J79" s="85">
        <f>J80+J81+J82</f>
        <v>45038196.95</v>
      </c>
      <c r="K79" s="85">
        <f>K80+K81+K82</f>
        <v>0</v>
      </c>
      <c r="L79" s="82"/>
      <c r="M79" s="4"/>
      <c r="N79" s="4"/>
      <c r="O79" s="526"/>
    </row>
    <row r="80" spans="1:15" ht="18.75" customHeight="1">
      <c r="A80" s="86" t="s">
        <v>75</v>
      </c>
      <c r="B80" s="87">
        <v>280625969.41</v>
      </c>
      <c r="C80" s="87">
        <f>B80+30514098.88-13350767.09</f>
        <v>297789301.20000005</v>
      </c>
      <c r="D80" s="1365">
        <f>E80-'[18]Anexo 1 _ BAL ORC'!E78</f>
        <v>28592368.35</v>
      </c>
      <c r="E80" s="1326">
        <v>81732752.62</v>
      </c>
      <c r="F80" s="87">
        <f t="shared" si="10"/>
        <v>216056548.58000004</v>
      </c>
      <c r="G80" s="35">
        <f>H80-'[18]Anexo 1 _ BAL ORC'!H78</f>
        <v>16132343.399999999</v>
      </c>
      <c r="H80" s="524">
        <v>35861728.5</v>
      </c>
      <c r="I80" s="87">
        <f aca="true" t="shared" si="12" ref="I80:I85">C80-H80</f>
        <v>261927572.70000005</v>
      </c>
      <c r="J80" s="35">
        <v>28621414.56</v>
      </c>
      <c r="K80" s="88"/>
      <c r="L80" s="82"/>
      <c r="M80" s="31"/>
      <c r="N80" s="82"/>
      <c r="O80" s="82"/>
    </row>
    <row r="81" spans="1:15" ht="18.75" customHeight="1">
      <c r="A81" s="86" t="s">
        <v>76</v>
      </c>
      <c r="B81" s="87">
        <v>131800</v>
      </c>
      <c r="C81" s="87">
        <f>B81</f>
        <v>131800</v>
      </c>
      <c r="D81" s="1365">
        <f>E81-'[18]Anexo 1 _ BAL ORC'!E79</f>
        <v>6000</v>
      </c>
      <c r="E81" s="1326">
        <v>6000</v>
      </c>
      <c r="F81" s="87">
        <f t="shared" si="10"/>
        <v>125800</v>
      </c>
      <c r="G81" s="35">
        <f>H81-'[18]Anexo 1 _ BAL ORC'!H79</f>
        <v>0</v>
      </c>
      <c r="H81" s="524">
        <v>0</v>
      </c>
      <c r="I81" s="87">
        <f t="shared" si="12"/>
        <v>131800</v>
      </c>
      <c r="J81" s="35">
        <v>0</v>
      </c>
      <c r="K81" s="88"/>
      <c r="L81" s="82"/>
      <c r="M81" s="4"/>
      <c r="N81" s="82"/>
      <c r="O81" s="82"/>
    </row>
    <row r="82" spans="1:15" ht="18.75" customHeight="1">
      <c r="A82" s="86" t="s">
        <v>77</v>
      </c>
      <c r="B82" s="87">
        <v>48684328</v>
      </c>
      <c r="C82" s="87">
        <f>B82+10080668.88</f>
        <v>58764996.88</v>
      </c>
      <c r="D82" s="1365">
        <f>E82-'[18]Anexo 1 _ BAL ORC'!E80</f>
        <v>14241057.009999998</v>
      </c>
      <c r="E82" s="1326">
        <v>38478102.87</v>
      </c>
      <c r="F82" s="87">
        <f t="shared" si="10"/>
        <v>20286894.010000005</v>
      </c>
      <c r="G82" s="35">
        <f>H82-'[18]Anexo 1 _ BAL ORC'!H80</f>
        <v>8161534.82</v>
      </c>
      <c r="H82" s="524">
        <v>16716782.39</v>
      </c>
      <c r="I82" s="87">
        <f t="shared" si="12"/>
        <v>42048214.49</v>
      </c>
      <c r="J82" s="35">
        <v>16416782.39</v>
      </c>
      <c r="K82" s="88"/>
      <c r="L82" s="82"/>
      <c r="M82" s="969"/>
      <c r="N82" s="82"/>
      <c r="O82" s="377"/>
    </row>
    <row r="83" spans="1:15" ht="18.75" customHeight="1">
      <c r="A83" s="83" t="s">
        <v>78</v>
      </c>
      <c r="B83" s="84">
        <v>20739308</v>
      </c>
      <c r="C83" s="87">
        <f>B83+58856006-10000000</f>
        <v>69595314</v>
      </c>
      <c r="D83" s="1365">
        <f>E83-'[18]Anexo 1 _ BAL ORC'!E81</f>
        <v>0</v>
      </c>
      <c r="E83" s="1327">
        <v>0</v>
      </c>
      <c r="F83" s="87">
        <f t="shared" si="10"/>
        <v>69595314</v>
      </c>
      <c r="G83" s="35">
        <f>H83-'[18]Anexo 1 _ BAL ORC'!H81</f>
        <v>0</v>
      </c>
      <c r="H83" s="520">
        <v>0</v>
      </c>
      <c r="I83" s="87">
        <f t="shared" si="12"/>
        <v>69595314</v>
      </c>
      <c r="J83" s="35"/>
      <c r="K83" s="88"/>
      <c r="L83" s="82"/>
      <c r="M83" s="969"/>
      <c r="N83" s="82"/>
      <c r="O83" s="82"/>
    </row>
    <row r="84" spans="1:15" ht="18.75" customHeight="1">
      <c r="A84" s="83" t="s">
        <v>79</v>
      </c>
      <c r="B84" s="84">
        <v>58856006</v>
      </c>
      <c r="C84" s="84">
        <f>B84-58856006</f>
        <v>0</v>
      </c>
      <c r="D84" s="1365">
        <f>E84-'[18]Anexo 1 _ BAL ORC'!E82</f>
        <v>0</v>
      </c>
      <c r="E84" s="1327">
        <v>0</v>
      </c>
      <c r="F84" s="87">
        <f t="shared" si="10"/>
        <v>0</v>
      </c>
      <c r="G84" s="35">
        <f>H84-'[18]Anexo 1 _ BAL ORC'!H82</f>
        <v>0</v>
      </c>
      <c r="H84" s="520">
        <v>0</v>
      </c>
      <c r="I84" s="87">
        <f t="shared" si="12"/>
        <v>0</v>
      </c>
      <c r="J84" s="35"/>
      <c r="K84" s="88"/>
      <c r="L84" s="82"/>
      <c r="M84" s="4"/>
      <c r="N84" s="82"/>
      <c r="O84" s="82"/>
    </row>
    <row r="85" spans="1:15" ht="18.75" customHeight="1">
      <c r="A85" s="20" t="s">
        <v>80</v>
      </c>
      <c r="B85" s="520">
        <v>0</v>
      </c>
      <c r="C85" s="87"/>
      <c r="D85" s="1365">
        <f>E85-'[18]Anexo 1 _ BAL ORC'!E83</f>
        <v>0</v>
      </c>
      <c r="E85" s="87">
        <v>68761081.06</v>
      </c>
      <c r="F85" s="87">
        <f t="shared" si="10"/>
        <v>-68761081.06</v>
      </c>
      <c r="G85" s="35">
        <f>H85-'[18]Anexo 1 _ BAL ORC'!H83</f>
        <v>11809427.95</v>
      </c>
      <c r="H85" s="524">
        <v>23476469.15</v>
      </c>
      <c r="I85" s="87">
        <f t="shared" si="12"/>
        <v>-23476469.15</v>
      </c>
      <c r="J85" s="1383">
        <v>0</v>
      </c>
      <c r="K85" s="85"/>
      <c r="L85" s="82"/>
      <c r="M85" s="4"/>
      <c r="N85" s="82"/>
      <c r="O85" s="82"/>
    </row>
    <row r="86" spans="1:15" s="93" customFormat="1" ht="18.75" customHeight="1">
      <c r="A86" s="437" t="s">
        <v>81</v>
      </c>
      <c r="B86" s="91">
        <f aca="true" t="shared" si="13" ref="B86:K86">B74+B85</f>
        <v>2701778599</v>
      </c>
      <c r="C86" s="91">
        <f>C74+C85</f>
        <v>2729241275</v>
      </c>
      <c r="D86" s="91">
        <f t="shared" si="13"/>
        <v>223015612.55999994</v>
      </c>
      <c r="E86" s="91">
        <f t="shared" si="13"/>
        <v>1809827310.29</v>
      </c>
      <c r="F86" s="91">
        <f t="shared" si="13"/>
        <v>919413964.7099998</v>
      </c>
      <c r="G86" s="91">
        <f t="shared" si="13"/>
        <v>382513478.44</v>
      </c>
      <c r="H86" s="521">
        <f t="shared" si="13"/>
        <v>1066372557.24</v>
      </c>
      <c r="I86" s="91">
        <f t="shared" si="13"/>
        <v>1662868717.7599998</v>
      </c>
      <c r="J86" s="91">
        <f t="shared" si="13"/>
        <v>908095348.6200001</v>
      </c>
      <c r="K86" s="91">
        <f t="shared" si="13"/>
        <v>0</v>
      </c>
      <c r="L86" s="82"/>
      <c r="M86" s="4"/>
      <c r="N86" s="82"/>
      <c r="O86" s="82"/>
    </row>
    <row r="87" spans="1:15" s="93" customFormat="1" ht="18.75" customHeight="1">
      <c r="A87" s="438" t="s">
        <v>540</v>
      </c>
      <c r="B87" s="94">
        <f aca="true" t="shared" si="14" ref="B87:K87">B88+B91</f>
        <v>0</v>
      </c>
      <c r="C87" s="94">
        <f t="shared" si="14"/>
        <v>0</v>
      </c>
      <c r="D87" s="522">
        <f t="shared" si="14"/>
        <v>0</v>
      </c>
      <c r="E87" s="94">
        <f t="shared" si="14"/>
        <v>0</v>
      </c>
      <c r="F87" s="94">
        <f t="shared" si="14"/>
        <v>0</v>
      </c>
      <c r="G87" s="94">
        <f t="shared" si="14"/>
        <v>0</v>
      </c>
      <c r="H87" s="94">
        <f t="shared" si="14"/>
        <v>0</v>
      </c>
      <c r="I87" s="94">
        <f t="shared" si="14"/>
        <v>0</v>
      </c>
      <c r="J87" s="94">
        <f t="shared" si="14"/>
        <v>0</v>
      </c>
      <c r="K87" s="94">
        <f t="shared" si="14"/>
        <v>0</v>
      </c>
      <c r="L87" s="95"/>
      <c r="M87" s="543"/>
      <c r="N87" s="95"/>
      <c r="O87" s="95"/>
    </row>
    <row r="88" spans="1:12" s="93" customFormat="1" ht="18.75" customHeight="1">
      <c r="A88" s="44" t="s">
        <v>82</v>
      </c>
      <c r="B88" s="85">
        <f aca="true" t="shared" si="15" ref="B88:K88">SUM(B89:B90)</f>
        <v>0</v>
      </c>
      <c r="C88" s="85">
        <f t="shared" si="15"/>
        <v>0</v>
      </c>
      <c r="D88" s="523">
        <f t="shared" si="15"/>
        <v>0</v>
      </c>
      <c r="E88" s="85">
        <f t="shared" si="15"/>
        <v>0</v>
      </c>
      <c r="F88" s="85">
        <f t="shared" si="15"/>
        <v>0</v>
      </c>
      <c r="G88" s="85">
        <f t="shared" si="15"/>
        <v>0</v>
      </c>
      <c r="H88" s="85">
        <f t="shared" si="15"/>
        <v>0</v>
      </c>
      <c r="I88" s="85">
        <f t="shared" si="15"/>
        <v>0</v>
      </c>
      <c r="J88" s="85">
        <f t="shared" si="15"/>
        <v>0</v>
      </c>
      <c r="K88" s="85">
        <f t="shared" si="15"/>
        <v>0</v>
      </c>
      <c r="L88" s="95"/>
    </row>
    <row r="89" spans="1:12" s="97" customFormat="1" ht="18.75" customHeight="1">
      <c r="A89" s="439" t="s">
        <v>83</v>
      </c>
      <c r="B89" s="88">
        <v>0</v>
      </c>
      <c r="C89" s="88">
        <v>0</v>
      </c>
      <c r="D89" s="519">
        <f>E89-'[17]Anexo 1 _ BAL ORC'!F87</f>
        <v>0</v>
      </c>
      <c r="E89" s="35">
        <v>0</v>
      </c>
      <c r="F89" s="88">
        <v>0</v>
      </c>
      <c r="G89" s="35">
        <f>H89-'[18]Anexo 1 _ BAL ORC'!H87</f>
        <v>0</v>
      </c>
      <c r="H89" s="525"/>
      <c r="I89" s="88"/>
      <c r="J89" s="80"/>
      <c r="K89" s="85">
        <f>(D89-(H89+I89))</f>
        <v>0</v>
      </c>
      <c r="L89" s="96"/>
    </row>
    <row r="90" spans="1:13" s="97" customFormat="1" ht="18.75" customHeight="1">
      <c r="A90" s="439" t="s">
        <v>84</v>
      </c>
      <c r="B90" s="88"/>
      <c r="C90" s="88">
        <v>0</v>
      </c>
      <c r="D90" s="519">
        <f>E90-'[17]Anexo 1 _ BAL ORC'!F88</f>
        <v>0</v>
      </c>
      <c r="E90" s="35">
        <v>0</v>
      </c>
      <c r="F90" s="88">
        <v>0</v>
      </c>
      <c r="G90" s="35">
        <f>H90-'[18]Anexo 1 _ BAL ORC'!H88</f>
        <v>0</v>
      </c>
      <c r="H90" s="525"/>
      <c r="I90" s="88"/>
      <c r="J90" s="80"/>
      <c r="K90" s="85">
        <f>(D90-(H90+I90))</f>
        <v>0</v>
      </c>
      <c r="L90" s="96"/>
      <c r="M90" s="674"/>
    </row>
    <row r="91" spans="1:15" s="93" customFormat="1" ht="18.75" customHeight="1">
      <c r="A91" s="44" t="s">
        <v>85</v>
      </c>
      <c r="B91" s="85">
        <f aca="true" t="shared" si="16" ref="B91:K91">SUM(B92:B93)</f>
        <v>0</v>
      </c>
      <c r="C91" s="85">
        <f t="shared" si="16"/>
        <v>0</v>
      </c>
      <c r="D91" s="523">
        <f t="shared" si="16"/>
        <v>0</v>
      </c>
      <c r="E91" s="523">
        <f t="shared" si="16"/>
        <v>0</v>
      </c>
      <c r="F91" s="85">
        <f t="shared" si="16"/>
        <v>0</v>
      </c>
      <c r="G91" s="35">
        <f>H91-'[18]Anexo 1 _ BAL ORC'!H89</f>
        <v>0</v>
      </c>
      <c r="H91" s="85">
        <f t="shared" si="16"/>
        <v>0</v>
      </c>
      <c r="I91" s="85">
        <f t="shared" si="16"/>
        <v>0</v>
      </c>
      <c r="J91" s="85">
        <f t="shared" si="16"/>
        <v>0</v>
      </c>
      <c r="K91" s="85">
        <f t="shared" si="16"/>
        <v>0</v>
      </c>
      <c r="L91" s="620"/>
      <c r="M91" s="95"/>
      <c r="N91" s="95"/>
      <c r="O91" s="95"/>
    </row>
    <row r="92" spans="1:15" s="97" customFormat="1" ht="18.75" customHeight="1">
      <c r="A92" s="439" t="s">
        <v>83</v>
      </c>
      <c r="B92" s="88">
        <v>0</v>
      </c>
      <c r="C92" s="88">
        <v>0</v>
      </c>
      <c r="D92" s="519">
        <f>E92-'[17]Anexo 1 _ BAL ORC'!F90</f>
        <v>0</v>
      </c>
      <c r="E92" s="35">
        <v>0</v>
      </c>
      <c r="F92" s="88">
        <v>0</v>
      </c>
      <c r="G92" s="35">
        <f>H92-'[18]Anexo 1 _ BAL ORC'!H90</f>
        <v>0</v>
      </c>
      <c r="H92" s="525"/>
      <c r="I92" s="88"/>
      <c r="J92" s="80"/>
      <c r="K92" s="85">
        <f>(D92-(H92+I92))</f>
        <v>0</v>
      </c>
      <c r="L92" s="96"/>
      <c r="M92" s="96"/>
      <c r="N92" s="96"/>
      <c r="O92" s="96"/>
    </row>
    <row r="93" spans="1:15" s="97" customFormat="1" ht="18.75" customHeight="1">
      <c r="A93" s="440" t="s">
        <v>84</v>
      </c>
      <c r="B93" s="98">
        <v>0</v>
      </c>
      <c r="C93" s="98">
        <v>0</v>
      </c>
      <c r="D93" s="1328">
        <f>E93-'[17]Anexo 1 _ BAL ORC'!F91</f>
        <v>0</v>
      </c>
      <c r="E93" s="35">
        <v>0</v>
      </c>
      <c r="F93" s="98">
        <v>0</v>
      </c>
      <c r="G93" s="35">
        <f>H93-'[18]Anexo 1 _ BAL ORC'!H91</f>
        <v>0</v>
      </c>
      <c r="H93" s="525"/>
      <c r="I93" s="98"/>
      <c r="J93" s="99"/>
      <c r="K93" s="85">
        <f>(D93-(H93+I93))</f>
        <v>0</v>
      </c>
      <c r="L93" s="96"/>
      <c r="M93" s="96"/>
      <c r="N93" s="96"/>
      <c r="O93" s="96"/>
    </row>
    <row r="94" spans="1:12" s="93" customFormat="1" ht="18.75" customHeight="1">
      <c r="A94" s="101" t="s">
        <v>86</v>
      </c>
      <c r="B94" s="90">
        <f aca="true" t="shared" si="17" ref="B94:K94">B86</f>
        <v>2701778599</v>
      </c>
      <c r="C94" s="90">
        <f t="shared" si="17"/>
        <v>2729241275</v>
      </c>
      <c r="D94" s="100">
        <f t="shared" si="17"/>
        <v>223015612.55999994</v>
      </c>
      <c r="E94" s="544">
        <f t="shared" si="17"/>
        <v>1809827310.29</v>
      </c>
      <c r="F94" s="100">
        <f t="shared" si="17"/>
        <v>919413964.7099998</v>
      </c>
      <c r="G94" s="1297">
        <f t="shared" si="17"/>
        <v>382513478.44</v>
      </c>
      <c r="H94" s="1297">
        <f t="shared" si="17"/>
        <v>1066372557.24</v>
      </c>
      <c r="I94" s="1297">
        <f t="shared" si="17"/>
        <v>1662868717.7599998</v>
      </c>
      <c r="J94" s="1297">
        <f t="shared" si="17"/>
        <v>908095348.6200001</v>
      </c>
      <c r="K94" s="1297">
        <f t="shared" si="17"/>
        <v>0</v>
      </c>
      <c r="L94" s="95"/>
    </row>
    <row r="95" spans="1:12" s="26" customFormat="1" ht="18.75" customHeight="1">
      <c r="A95" s="101" t="s">
        <v>87</v>
      </c>
      <c r="B95" s="59" t="s">
        <v>21</v>
      </c>
      <c r="C95" s="59" t="s">
        <v>21</v>
      </c>
      <c r="D95" s="59" t="s">
        <v>21</v>
      </c>
      <c r="E95" s="585" t="s">
        <v>21</v>
      </c>
      <c r="F95" s="59" t="s">
        <v>21</v>
      </c>
      <c r="G95" s="59">
        <v>0</v>
      </c>
      <c r="H95" s="1298">
        <f>G59-H94</f>
        <v>156809515.6500001</v>
      </c>
      <c r="I95" s="1296"/>
      <c r="J95" s="102"/>
      <c r="K95" s="92"/>
      <c r="L95" s="1016"/>
    </row>
    <row r="96" spans="1:15" s="89" customFormat="1" ht="18.75" customHeight="1">
      <c r="A96" s="101" t="s">
        <v>88</v>
      </c>
      <c r="B96" s="90">
        <f>B86</f>
        <v>2701778599</v>
      </c>
      <c r="C96" s="90">
        <f>C86</f>
        <v>2729241275</v>
      </c>
      <c r="D96" s="90">
        <f>D86</f>
        <v>223015612.55999994</v>
      </c>
      <c r="E96" s="90">
        <f>E86</f>
        <v>1809827310.29</v>
      </c>
      <c r="F96" s="90">
        <f>F86</f>
        <v>919413964.7099998</v>
      </c>
      <c r="G96" s="90">
        <f>G94+G95</f>
        <v>382513478.44</v>
      </c>
      <c r="H96" s="1299">
        <f>H95+H94</f>
        <v>1223182072.89</v>
      </c>
      <c r="I96" s="1299">
        <f>I95+I94</f>
        <v>1662868717.7599998</v>
      </c>
      <c r="J96" s="1299">
        <f>J95+J94</f>
        <v>908095348.6200001</v>
      </c>
      <c r="K96" s="1299">
        <f>K95+K94</f>
        <v>0</v>
      </c>
      <c r="L96" s="103"/>
      <c r="M96" s="104"/>
      <c r="N96" s="104"/>
      <c r="O96" s="104"/>
    </row>
    <row r="97" spans="1:15" s="89" customFormat="1" ht="18.75" customHeight="1">
      <c r="A97" s="441" t="s">
        <v>89</v>
      </c>
      <c r="B97" s="105"/>
      <c r="C97" s="105"/>
      <c r="D97" s="105"/>
      <c r="E97" s="105"/>
      <c r="F97" s="105"/>
      <c r="G97" s="105"/>
      <c r="H97" s="105"/>
      <c r="I97" s="105"/>
      <c r="J97" s="46"/>
      <c r="K97" s="105"/>
      <c r="L97" s="103"/>
      <c r="M97" s="104"/>
      <c r="N97" s="104"/>
      <c r="O97" s="104"/>
    </row>
    <row r="98" spans="1:15" s="89" customFormat="1" ht="27.75" customHeight="1">
      <c r="A98" s="1444" t="s">
        <v>90</v>
      </c>
      <c r="B98" s="1444"/>
      <c r="C98" s="1444"/>
      <c r="D98" s="1444"/>
      <c r="E98" s="1444"/>
      <c r="F98" s="1444"/>
      <c r="G98" s="1444"/>
      <c r="H98" s="1444"/>
      <c r="I98" s="1444"/>
      <c r="J98" s="1444"/>
      <c r="K98" s="1444"/>
      <c r="L98" s="103"/>
      <c r="M98" s="104"/>
      <c r="N98" s="104"/>
      <c r="O98" s="104"/>
    </row>
    <row r="99" spans="1:15" s="89" customFormat="1" ht="18.75" customHeight="1">
      <c r="A99" s="442" t="s">
        <v>91</v>
      </c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3"/>
      <c r="M99" s="104"/>
      <c r="N99" s="104"/>
      <c r="O99" s="104"/>
    </row>
    <row r="100" spans="1:15" s="89" customFormat="1" ht="18.75" customHeight="1">
      <c r="A100" s="442" t="s">
        <v>92</v>
      </c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4"/>
      <c r="M100" s="104"/>
      <c r="N100" s="104"/>
      <c r="O100" s="104"/>
    </row>
    <row r="101" spans="1:15" s="89" customFormat="1" ht="15.75" customHeight="1">
      <c r="A101" s="443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4"/>
      <c r="M101" s="104"/>
      <c r="N101" s="104"/>
      <c r="O101" s="104"/>
    </row>
    <row r="102" spans="1:15" s="32" customFormat="1" ht="15.75" customHeight="1">
      <c r="A102" s="542" t="s">
        <v>952</v>
      </c>
      <c r="B102" s="968"/>
      <c r="C102" s="591"/>
      <c r="D102" s="444"/>
      <c r="E102" s="444"/>
      <c r="F102" s="445"/>
      <c r="G102" s="446"/>
      <c r="H102" s="446"/>
      <c r="I102" s="446"/>
      <c r="J102" s="447"/>
      <c r="K102" s="447"/>
      <c r="M102" s="31"/>
      <c r="N102" s="31"/>
      <c r="O102" s="31"/>
    </row>
    <row r="103" spans="1:15" s="32" customFormat="1" ht="15" customHeight="1">
      <c r="A103" s="447"/>
      <c r="B103" s="447"/>
      <c r="C103" s="447"/>
      <c r="D103" s="448"/>
      <c r="E103" s="711"/>
      <c r="F103" s="712"/>
      <c r="G103" s="447"/>
      <c r="H103" s="448"/>
      <c r="I103" s="448"/>
      <c r="J103" s="447"/>
      <c r="K103" s="447"/>
      <c r="M103" s="31"/>
      <c r="N103" s="31"/>
      <c r="O103" s="31"/>
    </row>
    <row r="104" spans="1:15" s="32" customFormat="1" ht="15.75" customHeight="1">
      <c r="A104" s="107"/>
      <c r="B104" s="108"/>
      <c r="C104" s="2"/>
      <c r="D104" s="109"/>
      <c r="E104" s="2"/>
      <c r="F104" s="109"/>
      <c r="G104" s="2"/>
      <c r="H104" s="2"/>
      <c r="I104" s="2"/>
      <c r="J104" s="447"/>
      <c r="K104" s="447"/>
      <c r="M104" s="31"/>
      <c r="N104" s="31"/>
      <c r="O104" s="31"/>
    </row>
    <row r="105" spans="1:15" s="32" customFormat="1" ht="15.75" customHeight="1">
      <c r="A105" s="449"/>
      <c r="B105" s="449"/>
      <c r="C105" s="450"/>
      <c r="D105" s="2"/>
      <c r="E105" s="2"/>
      <c r="F105" s="451"/>
      <c r="G105" s="2"/>
      <c r="H105" s="2"/>
      <c r="I105" s="2"/>
      <c r="J105" s="447"/>
      <c r="K105" s="447"/>
      <c r="M105" s="31"/>
      <c r="N105" s="31"/>
      <c r="O105" s="31"/>
    </row>
    <row r="106" spans="1:15" s="32" customFormat="1" ht="15.75" customHeight="1">
      <c r="A106" s="452"/>
      <c r="B106" s="452"/>
      <c r="C106" s="452"/>
      <c r="D106" s="452"/>
      <c r="E106" s="447"/>
      <c r="F106" s="451"/>
      <c r="G106" s="2"/>
      <c r="H106" s="2"/>
      <c r="I106" s="2"/>
      <c r="J106" s="447"/>
      <c r="K106" s="453"/>
      <c r="M106" s="31"/>
      <c r="N106" s="31"/>
      <c r="O106" s="31"/>
    </row>
    <row r="107" spans="13:21" s="470" customFormat="1" ht="15.75" customHeight="1">
      <c r="M107" s="471"/>
      <c r="N107" s="471"/>
      <c r="O107" s="471"/>
      <c r="U107" s="471"/>
    </row>
    <row r="108" spans="6:11" ht="15.75" customHeight="1">
      <c r="F108" s="105"/>
      <c r="G108" s="105"/>
      <c r="H108" s="105"/>
      <c r="I108" s="105"/>
      <c r="J108" s="105"/>
      <c r="K108" s="105"/>
    </row>
    <row r="109" spans="6:11" ht="15.75" customHeight="1">
      <c r="F109" s="105"/>
      <c r="G109" s="105"/>
      <c r="H109" s="105"/>
      <c r="I109" s="105"/>
      <c r="J109" s="105"/>
      <c r="K109" s="105"/>
    </row>
    <row r="110" spans="6:11" ht="15.75" customHeight="1">
      <c r="F110" s="105"/>
      <c r="G110" s="105"/>
      <c r="H110" s="105"/>
      <c r="I110" s="105"/>
      <c r="J110" s="105"/>
      <c r="K110" s="105"/>
    </row>
    <row r="111" spans="6:11" ht="15.75" customHeight="1">
      <c r="F111" s="105"/>
      <c r="G111" s="105"/>
      <c r="H111" s="105"/>
      <c r="I111" s="105"/>
      <c r="J111" s="105"/>
      <c r="K111" s="105"/>
    </row>
  </sheetData>
  <sheetProtection/>
  <mergeCells count="129">
    <mergeCell ref="D58:E58"/>
    <mergeCell ref="A6:A8"/>
    <mergeCell ref="B6:B8"/>
    <mergeCell ref="C6:C7"/>
    <mergeCell ref="A68:F68"/>
    <mergeCell ref="A98:K98"/>
    <mergeCell ref="K70:K72"/>
    <mergeCell ref="D59:E59"/>
    <mergeCell ref="G59:I59"/>
    <mergeCell ref="D60:E60"/>
    <mergeCell ref="G60:I60"/>
    <mergeCell ref="H68:J68"/>
    <mergeCell ref="A65:F65"/>
    <mergeCell ref="G54:I54"/>
    <mergeCell ref="G55:I55"/>
    <mergeCell ref="G56:I56"/>
    <mergeCell ref="D57:E57"/>
    <mergeCell ref="G57:I57"/>
    <mergeCell ref="D55:E55"/>
    <mergeCell ref="D56:E56"/>
    <mergeCell ref="D54:E54"/>
    <mergeCell ref="D49:E49"/>
    <mergeCell ref="G49:I49"/>
    <mergeCell ref="G50:I50"/>
    <mergeCell ref="G51:I51"/>
    <mergeCell ref="G52:I52"/>
    <mergeCell ref="G53:I53"/>
    <mergeCell ref="D52:E52"/>
    <mergeCell ref="D53:E53"/>
    <mergeCell ref="D50:E50"/>
    <mergeCell ref="D51:E51"/>
    <mergeCell ref="D46:E46"/>
    <mergeCell ref="G46:I46"/>
    <mergeCell ref="D47:E47"/>
    <mergeCell ref="G47:I47"/>
    <mergeCell ref="D48:E48"/>
    <mergeCell ref="G48:I48"/>
    <mergeCell ref="D43:E43"/>
    <mergeCell ref="G43:I43"/>
    <mergeCell ref="D44:E44"/>
    <mergeCell ref="G44:I44"/>
    <mergeCell ref="D45:E45"/>
    <mergeCell ref="G45:I45"/>
    <mergeCell ref="D40:E40"/>
    <mergeCell ref="G40:I40"/>
    <mergeCell ref="D41:E41"/>
    <mergeCell ref="G41:I41"/>
    <mergeCell ref="D42:E42"/>
    <mergeCell ref="G42:I42"/>
    <mergeCell ref="D37:E37"/>
    <mergeCell ref="G37:I37"/>
    <mergeCell ref="D38:E38"/>
    <mergeCell ref="G38:I38"/>
    <mergeCell ref="D39:E39"/>
    <mergeCell ref="G39:I39"/>
    <mergeCell ref="D34:E34"/>
    <mergeCell ref="G34:I34"/>
    <mergeCell ref="D35:E35"/>
    <mergeCell ref="G35:I35"/>
    <mergeCell ref="D36:E36"/>
    <mergeCell ref="G36:I36"/>
    <mergeCell ref="D31:E31"/>
    <mergeCell ref="G31:I31"/>
    <mergeCell ref="D32:E32"/>
    <mergeCell ref="G32:I32"/>
    <mergeCell ref="D33:E33"/>
    <mergeCell ref="G33:I33"/>
    <mergeCell ref="D28:E28"/>
    <mergeCell ref="G28:I28"/>
    <mergeCell ref="D29:E29"/>
    <mergeCell ref="G29:I29"/>
    <mergeCell ref="D30:E30"/>
    <mergeCell ref="G30:I30"/>
    <mergeCell ref="D25:E25"/>
    <mergeCell ref="G25:I25"/>
    <mergeCell ref="D26:E26"/>
    <mergeCell ref="G26:I26"/>
    <mergeCell ref="D27:E27"/>
    <mergeCell ref="G27:I27"/>
    <mergeCell ref="D23:E23"/>
    <mergeCell ref="G23:I23"/>
    <mergeCell ref="D24:E24"/>
    <mergeCell ref="G24:I24"/>
    <mergeCell ref="D21:E21"/>
    <mergeCell ref="D22:E22"/>
    <mergeCell ref="D19:E19"/>
    <mergeCell ref="G19:I19"/>
    <mergeCell ref="D20:E20"/>
    <mergeCell ref="G20:I20"/>
    <mergeCell ref="G21:I21"/>
    <mergeCell ref="G22:I22"/>
    <mergeCell ref="D16:E16"/>
    <mergeCell ref="G16:I16"/>
    <mergeCell ref="D17:E17"/>
    <mergeCell ref="G17:I17"/>
    <mergeCell ref="D18:E18"/>
    <mergeCell ref="G18:I18"/>
    <mergeCell ref="D13:E13"/>
    <mergeCell ref="G13:I13"/>
    <mergeCell ref="D14:E14"/>
    <mergeCell ref="G14:I14"/>
    <mergeCell ref="D15:E15"/>
    <mergeCell ref="G15:I15"/>
    <mergeCell ref="D10:E10"/>
    <mergeCell ref="G10:I10"/>
    <mergeCell ref="D11:E11"/>
    <mergeCell ref="G11:I11"/>
    <mergeCell ref="D12:E12"/>
    <mergeCell ref="G12:I12"/>
    <mergeCell ref="G58:I58"/>
    <mergeCell ref="G1:H1"/>
    <mergeCell ref="A4:F4"/>
    <mergeCell ref="D6:H6"/>
    <mergeCell ref="D7:E7"/>
    <mergeCell ref="G7:I7"/>
    <mergeCell ref="D8:E8"/>
    <mergeCell ref="G8:I8"/>
    <mergeCell ref="D9:E9"/>
    <mergeCell ref="G9:I9"/>
    <mergeCell ref="D61:E61"/>
    <mergeCell ref="D62:E62"/>
    <mergeCell ref="J70:J72"/>
    <mergeCell ref="I70:I72"/>
    <mergeCell ref="D70:E70"/>
    <mergeCell ref="F70:F72"/>
    <mergeCell ref="G70:H71"/>
    <mergeCell ref="G72:G73"/>
    <mergeCell ref="A66:F66"/>
    <mergeCell ref="A67:F67"/>
  </mergeCells>
  <printOptions horizontalCentered="1"/>
  <pageMargins left="0.1968503937007874" right="0.2755905511811024" top="0.7874015748031497" bottom="0.3937007874015748" header="0.5118110236220472" footer="0.5118110236220472"/>
  <pageSetup fitToHeight="0" fitToWidth="1" horizontalDpi="300" verticalDpi="300" orientation="portrait" paperSize="9" scale="43" r:id="rId4"/>
  <rowBreaks count="1" manualBreakCount="1">
    <brk id="63" max="255" man="1"/>
  </rowBreaks>
  <ignoredErrors>
    <ignoredError sqref="C18:D18 C24:D24 C42:D42 C30:D30 D39 D79:E79 C26:D26 C15 G79 K79 F10 D54 K91" 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L160"/>
  <sheetViews>
    <sheetView zoomScalePageLayoutView="0" workbookViewId="0" topLeftCell="A115">
      <selection activeCell="E19" sqref="E19:F19"/>
    </sheetView>
  </sheetViews>
  <sheetFormatPr defaultColWidth="9.140625" defaultRowHeight="12.75"/>
  <cols>
    <col min="2" max="2" width="50.00390625" style="0" customWidth="1"/>
    <col min="3" max="3" width="13.8515625" style="0" customWidth="1"/>
    <col min="4" max="4" width="14.28125" style="0" customWidth="1"/>
    <col min="5" max="5" width="13.00390625" style="0" customWidth="1"/>
    <col min="6" max="6" width="9.57421875" style="0" customWidth="1"/>
    <col min="7" max="7" width="13.7109375" style="0" customWidth="1"/>
    <col min="8" max="8" width="10.8515625" style="0" customWidth="1"/>
    <col min="9" max="9" width="10.00390625" style="0" customWidth="1"/>
    <col min="10" max="10" width="15.00390625" style="0" bestFit="1" customWidth="1"/>
    <col min="11" max="11" width="17.7109375" style="0" bestFit="1" customWidth="1"/>
    <col min="12" max="12" width="21.57421875" style="0" customWidth="1"/>
    <col min="13" max="13" width="12.8515625" style="0" bestFit="1" customWidth="1"/>
    <col min="14" max="14" width="12.00390625" style="0" bestFit="1" customWidth="1"/>
    <col min="16" max="17" width="14.57421875" style="0" bestFit="1" customWidth="1"/>
    <col min="18" max="18" width="12.00390625" style="0" bestFit="1" customWidth="1"/>
    <col min="19" max="19" width="11.140625" style="0" bestFit="1" customWidth="1"/>
    <col min="20" max="20" width="9.8515625" style="0" bestFit="1" customWidth="1"/>
    <col min="21" max="21" width="12.8515625" style="0" bestFit="1" customWidth="1"/>
    <col min="22" max="22" width="11.140625" style="0" bestFit="1" customWidth="1"/>
    <col min="23" max="23" width="12.8515625" style="0" bestFit="1" customWidth="1"/>
    <col min="24" max="24" width="12.00390625" style="0" bestFit="1" customWidth="1"/>
    <col min="25" max="25" width="13.57421875" style="0" bestFit="1" customWidth="1"/>
    <col min="26" max="26" width="11.7109375" style="0" bestFit="1" customWidth="1"/>
  </cols>
  <sheetData>
    <row r="1" spans="1:8" ht="16.5" customHeight="1">
      <c r="A1" s="2001" t="s">
        <v>807</v>
      </c>
      <c r="B1" s="2001"/>
      <c r="C1" s="2001"/>
      <c r="D1" s="2001"/>
      <c r="E1" s="2001"/>
      <c r="F1" s="2001"/>
      <c r="G1" s="2001"/>
      <c r="H1" s="774"/>
    </row>
    <row r="2" spans="1:8" ht="14.25" customHeight="1">
      <c r="A2" s="2001" t="s">
        <v>0</v>
      </c>
      <c r="B2" s="2001"/>
      <c r="C2" s="2001"/>
      <c r="D2" s="2001"/>
      <c r="E2" s="2001"/>
      <c r="F2" s="2001"/>
      <c r="G2" s="2001"/>
      <c r="H2" s="774"/>
    </row>
    <row r="3" spans="1:8" ht="15" customHeight="1">
      <c r="A3" s="2021" t="s">
        <v>739</v>
      </c>
      <c r="B3" s="2021"/>
      <c r="C3" s="2021"/>
      <c r="D3" s="2021"/>
      <c r="E3" s="2021"/>
      <c r="F3" s="2021"/>
      <c r="G3" s="2022"/>
      <c r="H3" s="774"/>
    </row>
    <row r="4" spans="1:8" ht="15" customHeight="1">
      <c r="A4" s="2001" t="s">
        <v>2</v>
      </c>
      <c r="B4" s="2001"/>
      <c r="C4" s="2001"/>
      <c r="D4" s="2001"/>
      <c r="E4" s="2001"/>
      <c r="F4" s="2001"/>
      <c r="G4" s="2001"/>
      <c r="H4" s="774"/>
    </row>
    <row r="5" spans="1:8" ht="13.5" customHeight="1">
      <c r="A5" s="2074" t="str">
        <f>'Anexo 1 _ BAL ORC'!A4:F4</f>
        <v>Referência: JANEIRO-JUNHO/2015; BIMESTRE: MAIO-JUNHO/2015</v>
      </c>
      <c r="B5" s="2074"/>
      <c r="C5" s="2074"/>
      <c r="D5" s="2074"/>
      <c r="E5" s="1084"/>
      <c r="F5" s="1084"/>
      <c r="G5" s="775"/>
      <c r="H5" s="776"/>
    </row>
    <row r="6" spans="1:8" ht="16.5" customHeight="1">
      <c r="A6" s="773"/>
      <c r="B6" s="773"/>
      <c r="C6" s="773"/>
      <c r="D6" s="773"/>
      <c r="E6" s="2073" t="str">
        <f>'Anexo 1 _ BAL ORC'!H3</f>
        <v>Publicação: Diário Oficial do Município nº 140</v>
      </c>
      <c r="F6" s="2073"/>
      <c r="G6" s="2073"/>
      <c r="H6" s="776"/>
    </row>
    <row r="7" spans="1:8" ht="18" customHeight="1">
      <c r="A7" s="777"/>
      <c r="B7" s="778"/>
      <c r="C7" s="778"/>
      <c r="D7" s="778"/>
      <c r="E7" s="2073" t="str">
        <f>'Anexo 1 _ BAL ORC'!H4</f>
        <v>Data: 30/07/2015</v>
      </c>
      <c r="F7" s="2073"/>
      <c r="G7" s="2073"/>
      <c r="H7" s="470"/>
    </row>
    <row r="8" spans="1:9" ht="18" customHeight="1">
      <c r="A8" s="778" t="s">
        <v>692</v>
      </c>
      <c r="B8" s="470"/>
      <c r="C8" s="1085"/>
      <c r="D8" s="470"/>
      <c r="E8" s="470"/>
      <c r="F8" s="470"/>
      <c r="G8" s="1086"/>
      <c r="H8" s="779"/>
      <c r="I8" s="779" t="s">
        <v>535</v>
      </c>
    </row>
    <row r="9" spans="1:9" s="782" customFormat="1" ht="19.5" customHeight="1">
      <c r="A9" s="2066" t="s">
        <v>693</v>
      </c>
      <c r="B9" s="2067"/>
      <c r="C9" s="977" t="s">
        <v>437</v>
      </c>
      <c r="D9" s="977" t="s">
        <v>437</v>
      </c>
      <c r="E9" s="2015" t="s">
        <v>216</v>
      </c>
      <c r="F9" s="2061"/>
      <c r="G9" s="2061"/>
      <c r="H9" s="2061"/>
      <c r="I9" s="2016"/>
    </row>
    <row r="10" spans="1:9" s="782" customFormat="1" ht="20.25" customHeight="1">
      <c r="A10" s="2068"/>
      <c r="B10" s="2069"/>
      <c r="C10" s="978" t="s">
        <v>258</v>
      </c>
      <c r="D10" s="978" t="s">
        <v>259</v>
      </c>
      <c r="E10" s="2041" t="s">
        <v>900</v>
      </c>
      <c r="F10" s="2038"/>
      <c r="G10" s="1983" t="s">
        <v>99</v>
      </c>
      <c r="H10" s="2062"/>
      <c r="I10" s="1984"/>
    </row>
    <row r="11" spans="1:9" s="782" customFormat="1" ht="18" customHeight="1">
      <c r="A11" s="2070"/>
      <c r="B11" s="2071"/>
      <c r="C11" s="979"/>
      <c r="D11" s="1081" t="s">
        <v>105</v>
      </c>
      <c r="E11" s="2060"/>
      <c r="F11" s="2040"/>
      <c r="G11" s="1987" t="s">
        <v>694</v>
      </c>
      <c r="H11" s="2063"/>
      <c r="I11" s="1988"/>
    </row>
    <row r="12" spans="1:9" s="783" customFormat="1" ht="18.75" customHeight="1">
      <c r="A12" s="2072" t="s">
        <v>695</v>
      </c>
      <c r="B12" s="2072"/>
      <c r="C12" s="976">
        <f>SUM(C13:C20)</f>
        <v>675088358</v>
      </c>
      <c r="D12" s="976">
        <f>SUM(D13:D20)</f>
        <v>675088358</v>
      </c>
      <c r="E12" s="2077">
        <f>SUM(E13:E20)</f>
        <v>305893903.63</v>
      </c>
      <c r="F12" s="2078"/>
      <c r="G12" s="1999">
        <f aca="true" t="shared" si="0" ref="G12:G29">E12/D12</f>
        <v>0.45311684019590215</v>
      </c>
      <c r="H12" s="1999"/>
      <c r="I12" s="1999"/>
    </row>
    <row r="13" spans="1:9" s="782" customFormat="1" ht="26.25" customHeight="1">
      <c r="A13" s="2042" t="s">
        <v>696</v>
      </c>
      <c r="B13" s="2043"/>
      <c r="C13" s="784">
        <v>51278597</v>
      </c>
      <c r="D13" s="784">
        <f aca="true" t="shared" si="1" ref="D13:D20">C13</f>
        <v>51278597</v>
      </c>
      <c r="E13" s="2050">
        <f>35880661.4-24199.43</f>
        <v>35856461.97</v>
      </c>
      <c r="F13" s="2051"/>
      <c r="G13" s="2000">
        <f t="shared" si="0"/>
        <v>0.6992481087187311</v>
      </c>
      <c r="H13" s="2000"/>
      <c r="I13" s="2000"/>
    </row>
    <row r="14" spans="1:9" s="782" customFormat="1" ht="25.5" customHeight="1">
      <c r="A14" s="2042" t="s">
        <v>697</v>
      </c>
      <c r="B14" s="2043"/>
      <c r="C14" s="784">
        <v>30629116</v>
      </c>
      <c r="D14" s="784">
        <f t="shared" si="1"/>
        <v>30629116</v>
      </c>
      <c r="E14" s="2050">
        <f>14647505.1-25165.65</f>
        <v>14622339.45</v>
      </c>
      <c r="F14" s="2051"/>
      <c r="G14" s="2000">
        <f>E14/D14</f>
        <v>0.47739998274844103</v>
      </c>
      <c r="H14" s="2000"/>
      <c r="I14" s="2000"/>
    </row>
    <row r="15" spans="1:9" s="782" customFormat="1" ht="25.5" customHeight="1">
      <c r="A15" s="2042" t="s">
        <v>698</v>
      </c>
      <c r="B15" s="2043"/>
      <c r="C15" s="784">
        <v>509804371</v>
      </c>
      <c r="D15" s="784">
        <f t="shared" si="1"/>
        <v>509804371</v>
      </c>
      <c r="E15" s="2050">
        <f>210219004.38-90488.08</f>
        <v>210128516.29999998</v>
      </c>
      <c r="F15" s="2051"/>
      <c r="G15" s="2000">
        <f>E15/D15</f>
        <v>0.4121748032246667</v>
      </c>
      <c r="H15" s="2000"/>
      <c r="I15" s="2000"/>
    </row>
    <row r="16" spans="1:9" s="782" customFormat="1" ht="26.25" customHeight="1">
      <c r="A16" s="2042" t="s">
        <v>699</v>
      </c>
      <c r="B16" s="2043"/>
      <c r="C16" s="784">
        <v>43270249</v>
      </c>
      <c r="D16" s="784">
        <f t="shared" si="1"/>
        <v>43270249</v>
      </c>
      <c r="E16" s="2050">
        <f>28676766.14-4409.29</f>
        <v>28672356.85</v>
      </c>
      <c r="F16" s="2051"/>
      <c r="G16" s="2000">
        <f>E16/D16</f>
        <v>0.6626344315698299</v>
      </c>
      <c r="H16" s="2000"/>
      <c r="I16" s="2000"/>
    </row>
    <row r="17" spans="1:9" s="782" customFormat="1" ht="27" customHeight="1">
      <c r="A17" s="2042" t="s">
        <v>700</v>
      </c>
      <c r="B17" s="2043"/>
      <c r="C17" s="1087">
        <v>0</v>
      </c>
      <c r="D17" s="1087">
        <f t="shared" si="1"/>
        <v>0</v>
      </c>
      <c r="E17" s="2075">
        <v>0</v>
      </c>
      <c r="F17" s="2076"/>
      <c r="G17" s="2000"/>
      <c r="H17" s="2000"/>
      <c r="I17" s="2000"/>
    </row>
    <row r="18" spans="1:9" s="782" customFormat="1" ht="26.25" customHeight="1">
      <c r="A18" s="2042" t="s">
        <v>594</v>
      </c>
      <c r="B18" s="2043"/>
      <c r="C18" s="784">
        <f>660661+1758392</f>
        <v>2419053</v>
      </c>
      <c r="D18" s="784">
        <f t="shared" si="1"/>
        <v>2419053</v>
      </c>
      <c r="E18" s="2050">
        <f>113032.1+892082.7</f>
        <v>1005114.7999999999</v>
      </c>
      <c r="F18" s="2051"/>
      <c r="G18" s="2000">
        <f t="shared" si="0"/>
        <v>0.4154992883578822</v>
      </c>
      <c r="H18" s="2000"/>
      <c r="I18" s="2000"/>
    </row>
    <row r="19" spans="1:9" s="782" customFormat="1" ht="26.25" customHeight="1">
      <c r="A19" s="2042" t="s">
        <v>595</v>
      </c>
      <c r="B19" s="2043"/>
      <c r="C19" s="784">
        <f>11562881+19974553</f>
        <v>31537434</v>
      </c>
      <c r="D19" s="784">
        <f t="shared" si="1"/>
        <v>31537434</v>
      </c>
      <c r="E19" s="2050">
        <f>6023991.24+6567662.75</f>
        <v>12591653.99</v>
      </c>
      <c r="F19" s="2051"/>
      <c r="G19" s="2000">
        <f t="shared" si="0"/>
        <v>0.39926057364083584</v>
      </c>
      <c r="H19" s="2000"/>
      <c r="I19" s="2000"/>
    </row>
    <row r="20" spans="1:9" s="782" customFormat="1" ht="26.25" customHeight="1">
      <c r="A20" s="2042" t="s">
        <v>701</v>
      </c>
      <c r="B20" s="2043"/>
      <c r="C20" s="784">
        <f>3087130+3062408</f>
        <v>6149538</v>
      </c>
      <c r="D20" s="784">
        <f t="shared" si="1"/>
        <v>6149538</v>
      </c>
      <c r="E20" s="2050">
        <f>1732440.29+1285019.98</f>
        <v>3017460.27</v>
      </c>
      <c r="F20" s="2051"/>
      <c r="G20" s="2000">
        <f t="shared" si="0"/>
        <v>0.49068080724112934</v>
      </c>
      <c r="H20" s="2000"/>
      <c r="I20" s="2000"/>
    </row>
    <row r="21" spans="1:9" s="783" customFormat="1" ht="27" customHeight="1">
      <c r="A21" s="2044" t="s">
        <v>702</v>
      </c>
      <c r="B21" s="2054"/>
      <c r="C21" s="976">
        <f>SUM(C22:C27)</f>
        <v>1108751879</v>
      </c>
      <c r="D21" s="976">
        <f>SUM(D22:D27)</f>
        <v>1108751879</v>
      </c>
      <c r="E21" s="2052">
        <f>SUM(E22:E27)</f>
        <v>487970182.33</v>
      </c>
      <c r="F21" s="2053"/>
      <c r="G21" s="2000">
        <f t="shared" si="0"/>
        <v>0.4401076485841969</v>
      </c>
      <c r="H21" s="2000"/>
      <c r="I21" s="2000"/>
    </row>
    <row r="22" spans="1:9" s="783" customFormat="1" ht="24" customHeight="1">
      <c r="A22" s="2042" t="s">
        <v>703</v>
      </c>
      <c r="B22" s="2043"/>
      <c r="C22" s="784">
        <v>559790291</v>
      </c>
      <c r="D22" s="784">
        <f>C22</f>
        <v>559790291</v>
      </c>
      <c r="E22" s="2050">
        <v>232324002.37</v>
      </c>
      <c r="F22" s="2051"/>
      <c r="G22" s="2000">
        <f t="shared" si="0"/>
        <v>0.41501970667440535</v>
      </c>
      <c r="H22" s="2000"/>
      <c r="I22" s="2000"/>
    </row>
    <row r="23" spans="1:9" s="783" customFormat="1" ht="24" customHeight="1">
      <c r="A23" s="2042" t="s">
        <v>704</v>
      </c>
      <c r="B23" s="2043"/>
      <c r="C23" s="784">
        <v>24850</v>
      </c>
      <c r="D23" s="784">
        <f>C23</f>
        <v>24850</v>
      </c>
      <c r="E23" s="2050">
        <v>4525.44</v>
      </c>
      <c r="F23" s="2051"/>
      <c r="G23" s="2000">
        <f t="shared" si="0"/>
        <v>0.18211026156941648</v>
      </c>
      <c r="H23" s="2000"/>
      <c r="I23" s="2000"/>
    </row>
    <row r="24" spans="1:9" s="783" customFormat="1" ht="23.25" customHeight="1">
      <c r="A24" s="2042" t="s">
        <v>705</v>
      </c>
      <c r="B24" s="2043"/>
      <c r="C24" s="784">
        <v>88974010</v>
      </c>
      <c r="D24" s="784">
        <f>C24</f>
        <v>88974010</v>
      </c>
      <c r="E24" s="2050">
        <v>63044678.01</v>
      </c>
      <c r="F24" s="2051"/>
      <c r="G24" s="2000">
        <f t="shared" si="0"/>
        <v>0.7085740882084555</v>
      </c>
      <c r="H24" s="2000"/>
      <c r="I24" s="2000"/>
    </row>
    <row r="25" spans="1:9" s="783" customFormat="1" ht="23.25" customHeight="1">
      <c r="A25" s="2042" t="s">
        <v>706</v>
      </c>
      <c r="B25" s="2043"/>
      <c r="C25" s="784">
        <v>452602097</v>
      </c>
      <c r="D25" s="784">
        <f>C25</f>
        <v>452602097</v>
      </c>
      <c r="E25" s="2050">
        <v>189646155.5</v>
      </c>
      <c r="F25" s="2051"/>
      <c r="G25" s="2000">
        <f t="shared" si="0"/>
        <v>0.4190129845995831</v>
      </c>
      <c r="H25" s="2000"/>
      <c r="I25" s="2000"/>
    </row>
    <row r="26" spans="1:9" s="783" customFormat="1" ht="23.25" customHeight="1">
      <c r="A26" s="2042" t="s">
        <v>707</v>
      </c>
      <c r="B26" s="2043"/>
      <c r="C26" s="784">
        <v>3654191</v>
      </c>
      <c r="D26" s="784">
        <f>C26</f>
        <v>3654191</v>
      </c>
      <c r="E26" s="2050">
        <v>1052730.48</v>
      </c>
      <c r="F26" s="2051"/>
      <c r="G26" s="2000">
        <f t="shared" si="0"/>
        <v>0.28808852082444514</v>
      </c>
      <c r="H26" s="2000"/>
      <c r="I26" s="2000"/>
    </row>
    <row r="27" spans="1:9" s="783" customFormat="1" ht="24.75" customHeight="1">
      <c r="A27" s="2042" t="s">
        <v>708</v>
      </c>
      <c r="B27" s="2043"/>
      <c r="C27" s="1088">
        <f>SUM(C28:C29)</f>
        <v>3706440</v>
      </c>
      <c r="D27" s="1088">
        <f>SUM(D28:D29)</f>
        <v>3706440</v>
      </c>
      <c r="E27" s="2077">
        <f>E28+E29</f>
        <v>1898090.5300000003</v>
      </c>
      <c r="F27" s="2078"/>
      <c r="G27" s="2000">
        <f t="shared" si="0"/>
        <v>0.5121060991139746</v>
      </c>
      <c r="H27" s="2000"/>
      <c r="I27" s="2000"/>
    </row>
    <row r="28" spans="1:9" s="782" customFormat="1" ht="24.75" customHeight="1">
      <c r="A28" s="2042" t="s">
        <v>709</v>
      </c>
      <c r="B28" s="2043"/>
      <c r="C28" s="784">
        <v>3469208</v>
      </c>
      <c r="D28" s="784">
        <f>C28</f>
        <v>3469208</v>
      </c>
      <c r="E28" s="2050">
        <v>1356471.6</v>
      </c>
      <c r="F28" s="2051"/>
      <c r="G28" s="2000">
        <f t="shared" si="0"/>
        <v>0.39100324915657986</v>
      </c>
      <c r="H28" s="2000"/>
      <c r="I28" s="2000"/>
    </row>
    <row r="29" spans="1:9" s="782" customFormat="1" ht="23.25" customHeight="1">
      <c r="A29" s="2042" t="s">
        <v>840</v>
      </c>
      <c r="B29" s="2043"/>
      <c r="C29" s="1089">
        <v>237232</v>
      </c>
      <c r="D29" s="784">
        <f>C29</f>
        <v>237232</v>
      </c>
      <c r="E29" s="2050">
        <v>541618.93</v>
      </c>
      <c r="F29" s="2051"/>
      <c r="G29" s="2000">
        <f t="shared" si="0"/>
        <v>2.283077030080259</v>
      </c>
      <c r="H29" s="2000"/>
      <c r="I29" s="2000"/>
    </row>
    <row r="30" spans="1:9" s="782" customFormat="1" ht="32.25" customHeight="1">
      <c r="A30" s="2080" t="s">
        <v>710</v>
      </c>
      <c r="B30" s="2081"/>
      <c r="C30" s="976">
        <f>SUM(C12+C21)</f>
        <v>1783840237</v>
      </c>
      <c r="D30" s="976">
        <f>SUM(D12+D21)</f>
        <v>1783840237</v>
      </c>
      <c r="E30" s="2077">
        <f>SUM(E12+E21)</f>
        <v>793864085.96</v>
      </c>
      <c r="F30" s="2078"/>
      <c r="G30" s="1999">
        <f>E30/D30</f>
        <v>0.4450309335409391</v>
      </c>
      <c r="H30" s="1999"/>
      <c r="I30" s="1999"/>
    </row>
    <row r="31" spans="1:11" s="782" customFormat="1" ht="18.75" customHeight="1">
      <c r="A31" s="877"/>
      <c r="B31" s="877"/>
      <c r="C31" s="878"/>
      <c r="D31" s="878"/>
      <c r="E31" s="879"/>
      <c r="F31" s="879"/>
      <c r="G31" s="880"/>
      <c r="H31" s="781"/>
      <c r="K31" s="1285"/>
    </row>
    <row r="32" spans="1:8" s="782" customFormat="1" ht="19.5" customHeight="1">
      <c r="A32" s="877"/>
      <c r="B32" s="877"/>
      <c r="C32" s="881"/>
      <c r="D32" s="881"/>
      <c r="E32" s="882"/>
      <c r="F32" s="882"/>
      <c r="G32" s="883"/>
      <c r="H32" s="781"/>
    </row>
    <row r="33" spans="1:11" s="782" customFormat="1" ht="20.25" customHeight="1">
      <c r="A33" s="2065" t="s">
        <v>798</v>
      </c>
      <c r="B33" s="2065"/>
      <c r="C33" s="2082" t="s">
        <v>399</v>
      </c>
      <c r="D33" s="2082" t="s">
        <v>722</v>
      </c>
      <c r="E33" s="2100" t="s">
        <v>216</v>
      </c>
      <c r="F33" s="2101"/>
      <c r="G33" s="2101"/>
      <c r="H33" s="2101"/>
      <c r="I33" s="2102"/>
      <c r="K33" s="791"/>
    </row>
    <row r="34" spans="1:9" s="782" customFormat="1" ht="30.75" customHeight="1">
      <c r="A34" s="2065"/>
      <c r="B34" s="2065"/>
      <c r="C34" s="2083"/>
      <c r="D34" s="2083"/>
      <c r="E34" s="2058" t="s">
        <v>720</v>
      </c>
      <c r="F34" s="2059"/>
      <c r="G34" s="2103" t="s">
        <v>910</v>
      </c>
      <c r="H34" s="2104"/>
      <c r="I34" s="2105"/>
    </row>
    <row r="35" spans="1:9" s="782" customFormat="1" ht="24.75" customHeight="1">
      <c r="A35" s="2007" t="s">
        <v>711</v>
      </c>
      <c r="B35" s="2007"/>
      <c r="C35" s="976">
        <f>C36+C37+C38+C39</f>
        <v>340497274</v>
      </c>
      <c r="D35" s="976">
        <f>D36+D37+D38+D39</f>
        <v>340497274</v>
      </c>
      <c r="E35" s="2052">
        <f>E36+E37+E38+E39</f>
        <v>143284658.54000002</v>
      </c>
      <c r="F35" s="2053"/>
      <c r="G35" s="2000">
        <f aca="true" t="shared" si="2" ref="G35:G43">E35/D35</f>
        <v>0.42081000196201285</v>
      </c>
      <c r="H35" s="2000"/>
      <c r="I35" s="2000"/>
    </row>
    <row r="36" spans="1:9" s="782" customFormat="1" ht="21.75" customHeight="1">
      <c r="A36" s="2079" t="s">
        <v>712</v>
      </c>
      <c r="B36" s="2007"/>
      <c r="C36" s="784">
        <v>335191066</v>
      </c>
      <c r="D36" s="784">
        <f>C36</f>
        <v>335191066</v>
      </c>
      <c r="E36" s="2050">
        <v>139500163.96</v>
      </c>
      <c r="F36" s="2051"/>
      <c r="G36" s="2000">
        <f t="shared" si="2"/>
        <v>0.41618103258157846</v>
      </c>
      <c r="H36" s="2000"/>
      <c r="I36" s="2000"/>
    </row>
    <row r="37" spans="1:9" s="782" customFormat="1" ht="25.5" customHeight="1">
      <c r="A37" s="2079" t="s">
        <v>713</v>
      </c>
      <c r="B37" s="2079"/>
      <c r="C37" s="784">
        <v>5306208</v>
      </c>
      <c r="D37" s="784">
        <f>C37</f>
        <v>5306208</v>
      </c>
      <c r="E37" s="2050">
        <v>3784494.58</v>
      </c>
      <c r="F37" s="2051"/>
      <c r="G37" s="2000">
        <f t="shared" si="2"/>
        <v>0.713220171542465</v>
      </c>
      <c r="H37" s="2000"/>
      <c r="I37" s="2000"/>
    </row>
    <row r="38" spans="1:9" s="782" customFormat="1" ht="24" customHeight="1">
      <c r="A38" s="2079" t="s">
        <v>714</v>
      </c>
      <c r="B38" s="2079"/>
      <c r="C38" s="1087">
        <v>0</v>
      </c>
      <c r="D38" s="1087">
        <f>C38</f>
        <v>0</v>
      </c>
      <c r="E38" s="2050"/>
      <c r="F38" s="2051"/>
      <c r="G38" s="2000"/>
      <c r="H38" s="2000"/>
      <c r="I38" s="2000"/>
    </row>
    <row r="39" spans="1:9" s="782" customFormat="1" ht="25.5" customHeight="1">
      <c r="A39" s="2079" t="s">
        <v>715</v>
      </c>
      <c r="B39" s="2079"/>
      <c r="C39" s="1087">
        <v>0</v>
      </c>
      <c r="D39" s="1087">
        <f>C39</f>
        <v>0</v>
      </c>
      <c r="E39" s="2050"/>
      <c r="F39" s="2051"/>
      <c r="G39" s="2000"/>
      <c r="H39" s="2000"/>
      <c r="I39" s="2000"/>
    </row>
    <row r="40" spans="1:9" s="782" customFormat="1" ht="25.5" customHeight="1">
      <c r="A40" s="2079" t="s">
        <v>716</v>
      </c>
      <c r="B40" s="2079"/>
      <c r="C40" s="784"/>
      <c r="D40" s="784"/>
      <c r="E40" s="2050"/>
      <c r="F40" s="2051"/>
      <c r="G40" s="2000"/>
      <c r="H40" s="2000"/>
      <c r="I40" s="2000"/>
    </row>
    <row r="41" spans="1:9" s="782" customFormat="1" ht="25.5" customHeight="1">
      <c r="A41" s="2079" t="s">
        <v>717</v>
      </c>
      <c r="B41" s="2079"/>
      <c r="C41" s="1087">
        <v>0</v>
      </c>
      <c r="D41" s="1087">
        <f>C41</f>
        <v>0</v>
      </c>
      <c r="E41" s="2050"/>
      <c r="F41" s="2051"/>
      <c r="G41" s="2000"/>
      <c r="H41" s="2000"/>
      <c r="I41" s="2000"/>
    </row>
    <row r="42" spans="1:9" s="782" customFormat="1" ht="26.25" customHeight="1">
      <c r="A42" s="1981" t="s">
        <v>718</v>
      </c>
      <c r="B42" s="1981"/>
      <c r="C42" s="1087">
        <v>0</v>
      </c>
      <c r="D42" s="1087">
        <f>C42</f>
        <v>0</v>
      </c>
      <c r="E42" s="2050"/>
      <c r="F42" s="2051"/>
      <c r="G42" s="2000"/>
      <c r="H42" s="2000"/>
      <c r="I42" s="2000"/>
    </row>
    <row r="43" spans="1:9" s="782" customFormat="1" ht="32.25" customHeight="1">
      <c r="A43" s="2084" t="s">
        <v>719</v>
      </c>
      <c r="B43" s="2084"/>
      <c r="C43" s="976">
        <f>C35+C40+C41+C42</f>
        <v>340497274</v>
      </c>
      <c r="D43" s="976">
        <f>D35+D40+D41+D42</f>
        <v>340497274</v>
      </c>
      <c r="E43" s="2052">
        <f>E35+E40+E41+E42</f>
        <v>143284658.54000002</v>
      </c>
      <c r="F43" s="2053"/>
      <c r="G43" s="1999">
        <f t="shared" si="2"/>
        <v>0.42081000196201285</v>
      </c>
      <c r="H43" s="1999"/>
      <c r="I43" s="1999"/>
    </row>
    <row r="44" spans="1:8" s="782" customFormat="1" ht="21.75" customHeight="1">
      <c r="A44" s="875"/>
      <c r="B44" s="875"/>
      <c r="C44" s="780"/>
      <c r="D44" s="780"/>
      <c r="E44" s="780"/>
      <c r="F44" s="780"/>
      <c r="G44" s="874"/>
      <c r="H44" s="781"/>
    </row>
    <row r="45" spans="1:8" s="782" customFormat="1" ht="21.75" customHeight="1">
      <c r="A45" s="1113"/>
      <c r="B45" s="1113"/>
      <c r="C45" s="874"/>
      <c r="D45" s="874"/>
      <c r="E45" s="874"/>
      <c r="F45" s="874"/>
      <c r="G45" s="874"/>
      <c r="H45" s="781"/>
    </row>
    <row r="46" spans="1:8" s="782" customFormat="1" ht="21.75" customHeight="1">
      <c r="A46" s="1113"/>
      <c r="B46" s="1113"/>
      <c r="C46" s="874"/>
      <c r="D46" s="874"/>
      <c r="E46" s="874"/>
      <c r="F46" s="874"/>
      <c r="G46" s="874"/>
      <c r="H46" s="781"/>
    </row>
    <row r="47" spans="1:8" s="782" customFormat="1" ht="15.75" customHeight="1">
      <c r="A47" s="876"/>
      <c r="B47" s="876"/>
      <c r="C47" s="874"/>
      <c r="D47" s="874"/>
      <c r="E47" s="874"/>
      <c r="F47" s="874"/>
      <c r="G47" s="874"/>
      <c r="H47" s="781"/>
    </row>
    <row r="48" spans="1:8" s="782" customFormat="1" ht="20.25" customHeight="1">
      <c r="A48" s="876"/>
      <c r="B48" s="876"/>
      <c r="C48" s="887"/>
      <c r="D48" s="887"/>
      <c r="E48" s="887"/>
      <c r="F48" s="880"/>
      <c r="G48" s="883"/>
      <c r="H48" s="888"/>
    </row>
    <row r="49" spans="1:9" s="782" customFormat="1" ht="22.5" customHeight="1">
      <c r="A49" s="2001" t="s">
        <v>807</v>
      </c>
      <c r="B49" s="2001"/>
      <c r="C49" s="2001"/>
      <c r="D49" s="2001"/>
      <c r="E49" s="2001"/>
      <c r="F49" s="2001"/>
      <c r="G49" s="2001"/>
      <c r="H49" s="888"/>
      <c r="I49" s="791"/>
    </row>
    <row r="50" spans="1:9" s="782" customFormat="1" ht="16.5" customHeight="1">
      <c r="A50" s="2001" t="s">
        <v>0</v>
      </c>
      <c r="B50" s="2001"/>
      <c r="C50" s="2001"/>
      <c r="D50" s="2001"/>
      <c r="E50" s="2001"/>
      <c r="F50" s="2001"/>
      <c r="G50" s="2001"/>
      <c r="H50" s="888"/>
      <c r="I50" s="791"/>
    </row>
    <row r="51" spans="1:9" s="782" customFormat="1" ht="15.75" customHeight="1">
      <c r="A51" s="2021" t="s">
        <v>739</v>
      </c>
      <c r="B51" s="2021"/>
      <c r="C51" s="2021"/>
      <c r="D51" s="2021"/>
      <c r="E51" s="2021"/>
      <c r="F51" s="2021"/>
      <c r="G51" s="2022"/>
      <c r="H51" s="888"/>
      <c r="I51" s="791"/>
    </row>
    <row r="52" spans="1:9" s="782" customFormat="1" ht="15.75" customHeight="1">
      <c r="A52" s="2001" t="s">
        <v>2</v>
      </c>
      <c r="B52" s="2001"/>
      <c r="C52" s="2001"/>
      <c r="D52" s="2001"/>
      <c r="E52" s="2001"/>
      <c r="F52" s="2001"/>
      <c r="G52" s="2001"/>
      <c r="H52" s="888"/>
      <c r="I52" s="791"/>
    </row>
    <row r="53" spans="1:9" s="782" customFormat="1" ht="16.5" customHeight="1">
      <c r="A53" s="2025" t="str">
        <f>A5</f>
        <v>Referência: JANEIRO-JUNHO/2015; BIMESTRE: MAIO-JUNHO/2015</v>
      </c>
      <c r="B53" s="2025"/>
      <c r="C53" s="2025"/>
      <c r="D53" s="2025"/>
      <c r="E53" s="1017" t="str">
        <f>E6</f>
        <v>Publicação: Diário Oficial do Município nº 140</v>
      </c>
      <c r="F53" s="903"/>
      <c r="G53" s="775"/>
      <c r="H53" s="888"/>
      <c r="I53" s="791"/>
    </row>
    <row r="54" spans="1:9" s="782" customFormat="1" ht="15" customHeight="1">
      <c r="A54" s="803"/>
      <c r="B54" s="804"/>
      <c r="C54" s="804"/>
      <c r="D54" s="470"/>
      <c r="E54" s="2055" t="str">
        <f>E7</f>
        <v>Data: 30/07/2015</v>
      </c>
      <c r="F54" s="2055"/>
      <c r="G54" s="1086"/>
      <c r="H54" s="888"/>
      <c r="I54" s="791"/>
    </row>
    <row r="55" spans="1:9" s="782" customFormat="1" ht="15" customHeight="1">
      <c r="A55" s="778" t="s">
        <v>692</v>
      </c>
      <c r="B55" s="804"/>
      <c r="C55" s="804"/>
      <c r="D55" s="470"/>
      <c r="E55" s="806"/>
      <c r="F55" s="806"/>
      <c r="G55" s="807"/>
      <c r="H55" s="807"/>
      <c r="I55" s="807" t="s">
        <v>536</v>
      </c>
    </row>
    <row r="56" spans="1:9" s="782" customFormat="1" ht="14.25" customHeight="1">
      <c r="A56" s="2035" t="s">
        <v>925</v>
      </c>
      <c r="B56" s="2036"/>
      <c r="C56" s="1989" t="s">
        <v>424</v>
      </c>
      <c r="D56" s="1989" t="s">
        <v>724</v>
      </c>
      <c r="E56" s="2087" t="s">
        <v>645</v>
      </c>
      <c r="F56" s="2088"/>
      <c r="G56" s="2015" t="s">
        <v>257</v>
      </c>
      <c r="H56" s="2016"/>
      <c r="I56" s="1989" t="s">
        <v>239</v>
      </c>
    </row>
    <row r="57" spans="1:9" s="782" customFormat="1" ht="23.25" customHeight="1">
      <c r="A57" s="2037"/>
      <c r="B57" s="2038"/>
      <c r="C57" s="1990"/>
      <c r="D57" s="2041"/>
      <c r="E57" s="1989" t="s">
        <v>901</v>
      </c>
      <c r="F57" s="1989" t="s">
        <v>902</v>
      </c>
      <c r="G57" s="1989" t="s">
        <v>903</v>
      </c>
      <c r="H57" s="1989" t="s">
        <v>904</v>
      </c>
      <c r="I57" s="1990"/>
    </row>
    <row r="58" spans="1:9" s="782" customFormat="1" ht="23.25" customHeight="1">
      <c r="A58" s="2039"/>
      <c r="B58" s="2040"/>
      <c r="C58" s="1991"/>
      <c r="D58" s="1082" t="s">
        <v>725</v>
      </c>
      <c r="E58" s="1991"/>
      <c r="F58" s="1991"/>
      <c r="G58" s="1991"/>
      <c r="H58" s="1991"/>
      <c r="I58" s="1990"/>
    </row>
    <row r="59" spans="1:9" s="782" customFormat="1" ht="14.25" customHeight="1">
      <c r="A59" s="2044" t="s">
        <v>70</v>
      </c>
      <c r="B59" s="2045"/>
      <c r="C59" s="788">
        <f>SUM(C60:C62)</f>
        <v>712244513</v>
      </c>
      <c r="D59" s="789">
        <f>SUM(D60:D62)</f>
        <v>712244513</v>
      </c>
      <c r="E59" s="788">
        <f>E60+E61+E62</f>
        <v>628854645</v>
      </c>
      <c r="F59" s="1237">
        <f>(E59/D59)*100</f>
        <v>88.29196062897574</v>
      </c>
      <c r="G59" s="789">
        <f>SUM(G60:G62)</f>
        <v>357792429.5</v>
      </c>
      <c r="H59" s="1237">
        <f>(G59/D59)*100</f>
        <v>50.23449433017956</v>
      </c>
      <c r="I59" s="789">
        <f>SUM(I60:I62)</f>
        <v>0</v>
      </c>
    </row>
    <row r="60" spans="1:9" s="782" customFormat="1" ht="14.25" customHeight="1">
      <c r="A60" s="2042" t="s">
        <v>596</v>
      </c>
      <c r="B60" s="2043"/>
      <c r="C60" s="790">
        <v>436109409</v>
      </c>
      <c r="D60" s="790">
        <f>C60</f>
        <v>436109409</v>
      </c>
      <c r="E60" s="790">
        <v>423710773.88</v>
      </c>
      <c r="F60" s="1237">
        <f aca="true" t="shared" si="3" ref="F60:F67">(E60/D60)*100</f>
        <v>97.15698976813407</v>
      </c>
      <c r="G60" s="1090">
        <v>239236791.89</v>
      </c>
      <c r="H60" s="1237">
        <f>(G60/D60)*100</f>
        <v>54.85705810350906</v>
      </c>
      <c r="I60" s="1244"/>
    </row>
    <row r="61" spans="1:9" s="782" customFormat="1" ht="14.25" customHeight="1">
      <c r="A61" s="2042" t="s">
        <v>597</v>
      </c>
      <c r="B61" s="2043"/>
      <c r="C61" s="790"/>
      <c r="D61" s="790"/>
      <c r="E61" s="785"/>
      <c r="F61" s="1237"/>
      <c r="G61" s="1091"/>
      <c r="H61" s="1237">
        <f>(G61/D60)*100</f>
        <v>0</v>
      </c>
      <c r="I61" s="1244"/>
    </row>
    <row r="62" spans="1:9" s="782" customFormat="1" ht="14.25" customHeight="1">
      <c r="A62" s="2042" t="s">
        <v>598</v>
      </c>
      <c r="B62" s="2043"/>
      <c r="C62" s="790">
        <v>276135104</v>
      </c>
      <c r="D62" s="790">
        <f>C62</f>
        <v>276135104</v>
      </c>
      <c r="E62" s="790">
        <v>205143871.12</v>
      </c>
      <c r="F62" s="1237">
        <f t="shared" si="3"/>
        <v>74.29112349294061</v>
      </c>
      <c r="G62" s="1090">
        <v>118555637.61</v>
      </c>
      <c r="H62" s="1237">
        <f aca="true" t="shared" si="4" ref="H62:H67">(G62/D62)*100</f>
        <v>42.93392469578949</v>
      </c>
      <c r="I62" s="1244"/>
    </row>
    <row r="63" spans="1:9" s="782" customFormat="1" ht="14.25" customHeight="1">
      <c r="A63" s="2044" t="s">
        <v>74</v>
      </c>
      <c r="B63" s="2054"/>
      <c r="C63" s="788">
        <f>SUM(C64:C66)</f>
        <v>35443588</v>
      </c>
      <c r="D63" s="1092">
        <f>SUM(D64:D66)</f>
        <v>35443588</v>
      </c>
      <c r="E63" s="788">
        <f>SUM(E64:E66)</f>
        <v>3364759.1</v>
      </c>
      <c r="F63" s="1237">
        <f t="shared" si="3"/>
        <v>9.493280138568364</v>
      </c>
      <c r="G63" s="1092">
        <f>SUM(G64:G66)</f>
        <v>1992069.37</v>
      </c>
      <c r="H63" s="1282">
        <f t="shared" si="4"/>
        <v>5.620394216296612</v>
      </c>
      <c r="I63" s="788">
        <f>SUM(I64:I66)</f>
        <v>0</v>
      </c>
    </row>
    <row r="64" spans="1:9" s="783" customFormat="1" ht="18" customHeight="1">
      <c r="A64" s="2042" t="s">
        <v>599</v>
      </c>
      <c r="B64" s="2043"/>
      <c r="C64" s="790">
        <v>35443588</v>
      </c>
      <c r="D64" s="790">
        <f>C64</f>
        <v>35443588</v>
      </c>
      <c r="E64" s="790">
        <v>3364759.1</v>
      </c>
      <c r="F64" s="1237">
        <f t="shared" si="3"/>
        <v>9.493280138568364</v>
      </c>
      <c r="G64" s="1090">
        <v>1992069.37</v>
      </c>
      <c r="H64" s="1237">
        <f t="shared" si="4"/>
        <v>5.620394216296612</v>
      </c>
      <c r="I64" s="1245"/>
    </row>
    <row r="65" spans="1:9" s="782" customFormat="1" ht="21.75" customHeight="1">
      <c r="A65" s="2042" t="s">
        <v>600</v>
      </c>
      <c r="B65" s="2043"/>
      <c r="C65" s="790"/>
      <c r="D65" s="790"/>
      <c r="E65" s="790"/>
      <c r="F65" s="1237"/>
      <c r="G65" s="1090"/>
      <c r="H65" s="1237"/>
      <c r="I65" s="1246"/>
    </row>
    <row r="66" spans="1:9" s="782" customFormat="1" ht="21" customHeight="1">
      <c r="A66" s="2042" t="s">
        <v>601</v>
      </c>
      <c r="B66" s="2043"/>
      <c r="C66" s="790"/>
      <c r="D66" s="790"/>
      <c r="E66" s="790"/>
      <c r="F66" s="1237"/>
      <c r="G66" s="1090"/>
      <c r="H66" s="1237"/>
      <c r="I66" s="1246"/>
    </row>
    <row r="67" spans="1:9" s="782" customFormat="1" ht="23.25" customHeight="1">
      <c r="A67" s="792" t="s">
        <v>689</v>
      </c>
      <c r="B67" s="786"/>
      <c r="C67" s="788">
        <f>SUM(C59+C63)</f>
        <v>747688101</v>
      </c>
      <c r="D67" s="1092">
        <f>SUM(D59+D63)</f>
        <v>747688101</v>
      </c>
      <c r="E67" s="788">
        <f>SUM(E59+E63)</f>
        <v>632219404.1</v>
      </c>
      <c r="F67" s="1284">
        <f t="shared" si="3"/>
        <v>84.55656887603726</v>
      </c>
      <c r="G67" s="1092">
        <f>SUM(G59+G63)</f>
        <v>359784498.87</v>
      </c>
      <c r="H67" s="1283">
        <f t="shared" si="4"/>
        <v>48.119596712693976</v>
      </c>
      <c r="I67" s="788">
        <f>SUM(I59+I63)</f>
        <v>0</v>
      </c>
    </row>
    <row r="68" spans="1:9" s="783" customFormat="1" ht="18" customHeight="1">
      <c r="A68" s="794"/>
      <c r="B68" s="787"/>
      <c r="C68" s="795"/>
      <c r="D68" s="796"/>
      <c r="E68" s="797"/>
      <c r="F68" s="797"/>
      <c r="G68" s="796"/>
      <c r="H68" s="781"/>
      <c r="I68" s="793"/>
    </row>
    <row r="69" spans="1:10" s="782" customFormat="1" ht="18.75" customHeight="1">
      <c r="A69" s="2086" t="s">
        <v>841</v>
      </c>
      <c r="B69" s="2036"/>
      <c r="C69" s="977" t="s">
        <v>256</v>
      </c>
      <c r="D69" s="977" t="s">
        <v>256</v>
      </c>
      <c r="E69" s="2087" t="s">
        <v>645</v>
      </c>
      <c r="F69" s="2088"/>
      <c r="G69" s="2015" t="s">
        <v>257</v>
      </c>
      <c r="H69" s="2016"/>
      <c r="I69" s="1989" t="s">
        <v>239</v>
      </c>
      <c r="J69" s="1114"/>
    </row>
    <row r="70" spans="1:9" s="782" customFormat="1" ht="24.75" customHeight="1">
      <c r="A70" s="2041"/>
      <c r="B70" s="2038"/>
      <c r="C70" s="978" t="s">
        <v>258</v>
      </c>
      <c r="D70" s="978" t="s">
        <v>259</v>
      </c>
      <c r="E70" s="1989" t="s">
        <v>905</v>
      </c>
      <c r="F70" s="1989" t="s">
        <v>906</v>
      </c>
      <c r="G70" s="1989" t="s">
        <v>907</v>
      </c>
      <c r="H70" s="1989" t="s">
        <v>908</v>
      </c>
      <c r="I70" s="1990"/>
    </row>
    <row r="71" spans="1:9" s="782" customFormat="1" ht="21" customHeight="1">
      <c r="A71" s="2060"/>
      <c r="B71" s="2040"/>
      <c r="C71" s="980"/>
      <c r="D71" s="980"/>
      <c r="E71" s="1991"/>
      <c r="F71" s="1991"/>
      <c r="G71" s="1991"/>
      <c r="H71" s="1991"/>
      <c r="I71" s="1991"/>
    </row>
    <row r="72" spans="1:9" s="782" customFormat="1" ht="18" customHeight="1">
      <c r="A72" s="2008" t="s">
        <v>726</v>
      </c>
      <c r="B72" s="2085"/>
      <c r="C72" s="799"/>
      <c r="D72" s="799"/>
      <c r="E72" s="1239"/>
      <c r="F72" s="1242">
        <f>(E72/E67)*100</f>
        <v>0</v>
      </c>
      <c r="G72" s="873"/>
      <c r="H72" s="1241">
        <f>(G72/G67)*100</f>
        <v>0</v>
      </c>
      <c r="I72" s="1238"/>
    </row>
    <row r="73" spans="1:9" s="782" customFormat="1" ht="21.75" customHeight="1">
      <c r="A73" s="2008" t="s">
        <v>727</v>
      </c>
      <c r="B73" s="2085"/>
      <c r="C73" s="799"/>
      <c r="D73" s="799"/>
      <c r="E73" s="790"/>
      <c r="F73" s="1242">
        <f>(E73/E67)*100</f>
        <v>0</v>
      </c>
      <c r="G73" s="873"/>
      <c r="H73" s="1241">
        <f>(G73/G67)*100</f>
        <v>0</v>
      </c>
      <c r="I73" s="1238"/>
    </row>
    <row r="74" spans="1:9" s="782" customFormat="1" ht="26.25" customHeight="1">
      <c r="A74" s="2046" t="s">
        <v>728</v>
      </c>
      <c r="B74" s="2047"/>
      <c r="C74" s="1093">
        <f>C75+C76+C77</f>
        <v>337291066</v>
      </c>
      <c r="D74" s="1093">
        <f>D75+D76+D77</f>
        <v>337291066</v>
      </c>
      <c r="E74" s="788">
        <f>E75+E76+E77</f>
        <v>258001473.05</v>
      </c>
      <c r="F74" s="1279">
        <f>(E74/E67)*100</f>
        <v>40.808850752893235</v>
      </c>
      <c r="G74" s="1093">
        <f>G75+G76+G77</f>
        <v>149726748.69</v>
      </c>
      <c r="H74" s="1278">
        <f>(G74/G67)*100</f>
        <v>41.61567526123475</v>
      </c>
      <c r="I74" s="1243">
        <f>I75+I76+I77</f>
        <v>0</v>
      </c>
    </row>
    <row r="75" spans="1:9" s="782" customFormat="1" ht="21.75" customHeight="1">
      <c r="A75" s="2008" t="s">
        <v>729</v>
      </c>
      <c r="B75" s="2009"/>
      <c r="C75" s="1094">
        <v>337291066</v>
      </c>
      <c r="D75" s="1094">
        <f>C75</f>
        <v>337291066</v>
      </c>
      <c r="E75" s="1089">
        <v>258001473.05</v>
      </c>
      <c r="F75" s="1242">
        <f>(E75/E67)*100</f>
        <v>40.808850752893235</v>
      </c>
      <c r="G75" s="1095">
        <v>149726748.69</v>
      </c>
      <c r="H75" s="1277">
        <f>G75/G67*100</f>
        <v>41.61567526123475</v>
      </c>
      <c r="I75" s="1238"/>
    </row>
    <row r="76" spans="1:9" s="782" customFormat="1" ht="22.5" customHeight="1">
      <c r="A76" s="2008" t="s">
        <v>730</v>
      </c>
      <c r="B76" s="2009"/>
      <c r="C76" s="1096"/>
      <c r="D76" s="1096">
        <f>C76</f>
        <v>0</v>
      </c>
      <c r="E76" s="1240"/>
      <c r="F76" s="1242">
        <f>(E76/E67)*100</f>
        <v>0</v>
      </c>
      <c r="G76" s="902"/>
      <c r="H76" s="1241">
        <f>(G76/G67)*100</f>
        <v>0</v>
      </c>
      <c r="I76" s="1238"/>
    </row>
    <row r="77" spans="1:9" s="782" customFormat="1" ht="21.75" customHeight="1">
      <c r="A77" s="2008" t="s">
        <v>731</v>
      </c>
      <c r="B77" s="2009"/>
      <c r="C77" s="1094"/>
      <c r="D77" s="1094"/>
      <c r="E77" s="1089"/>
      <c r="F77" s="1242">
        <f>(E77/E67)*100</f>
        <v>0</v>
      </c>
      <c r="G77" s="1097"/>
      <c r="H77" s="1241">
        <f>(G77/G67)*100</f>
        <v>0</v>
      </c>
      <c r="I77" s="1238"/>
    </row>
    <row r="78" spans="1:9" s="782" customFormat="1" ht="22.5" customHeight="1">
      <c r="A78" s="2008" t="s">
        <v>732</v>
      </c>
      <c r="B78" s="2009"/>
      <c r="C78" s="1094">
        <v>5306208</v>
      </c>
      <c r="D78" s="1094">
        <f>C78</f>
        <v>5306208</v>
      </c>
      <c r="E78" s="1094">
        <v>3088110.7</v>
      </c>
      <c r="F78" s="1242">
        <f>(E78/E67)*100</f>
        <v>0.48845553932279256</v>
      </c>
      <c r="G78" s="1095">
        <v>1466154.79</v>
      </c>
      <c r="H78" s="1241">
        <f>(G78/G67)*100</f>
        <v>0.4075091602347665</v>
      </c>
      <c r="I78" s="1238"/>
    </row>
    <row r="79" spans="1:9" s="782" customFormat="1" ht="24" customHeight="1">
      <c r="A79" s="2008" t="s">
        <v>733</v>
      </c>
      <c r="B79" s="2009"/>
      <c r="C79" s="1094"/>
      <c r="D79" s="1094"/>
      <c r="E79" s="1240"/>
      <c r="F79" s="1242">
        <f>(E79/E67)*100</f>
        <v>0</v>
      </c>
      <c r="G79" s="902"/>
      <c r="H79" s="1241">
        <f>(G79/G67)*100</f>
        <v>0</v>
      </c>
      <c r="I79" s="1238"/>
    </row>
    <row r="80" spans="1:9" s="782" customFormat="1" ht="29.25" customHeight="1">
      <c r="A80" s="2008" t="s">
        <v>734</v>
      </c>
      <c r="B80" s="2009"/>
      <c r="C80" s="1094"/>
      <c r="D80" s="1094"/>
      <c r="E80" s="1089"/>
      <c r="F80" s="1242">
        <f>(E80/E67)*100</f>
        <v>0</v>
      </c>
      <c r="G80" s="902"/>
      <c r="H80" s="1241">
        <f>(G80/G67)*100</f>
        <v>0</v>
      </c>
      <c r="I80" s="1238"/>
    </row>
    <row r="81" spans="1:9" s="782" customFormat="1" ht="37.5" customHeight="1">
      <c r="A81" s="2008" t="s">
        <v>735</v>
      </c>
      <c r="B81" s="2009"/>
      <c r="C81" s="1094"/>
      <c r="D81" s="1094"/>
      <c r="E81" s="790"/>
      <c r="F81" s="1242">
        <f>(E81/E67)*100</f>
        <v>0</v>
      </c>
      <c r="G81" s="902"/>
      <c r="H81" s="1241">
        <f>(G81/G67)*100</f>
        <v>0</v>
      </c>
      <c r="I81" s="1238"/>
    </row>
    <row r="82" spans="1:9" s="782" customFormat="1" ht="38.25" customHeight="1">
      <c r="A82" s="2046" t="s">
        <v>736</v>
      </c>
      <c r="B82" s="2047"/>
      <c r="C82" s="1098">
        <f>C72+C73+C74+C78+C79+C80+C81</f>
        <v>342597274</v>
      </c>
      <c r="D82" s="1098">
        <f>D72+D73+D74+D78+D79+D80+D81</f>
        <v>342597274</v>
      </c>
      <c r="E82" s="788">
        <f>E72+E73+E74+E78+E79+E80+E81</f>
        <v>261089583.75</v>
      </c>
      <c r="F82" s="1279">
        <f>(E82/E67)*100</f>
        <v>41.29730629221603</v>
      </c>
      <c r="G82" s="788">
        <f>G72+G73+G74+G78+G79+G80+G81</f>
        <v>151192903.48</v>
      </c>
      <c r="H82" s="1279">
        <f>(G82/G67)*100</f>
        <v>42.02318442146951</v>
      </c>
      <c r="I82" s="788">
        <f>I72+I73+I74+I78+I79+I80+I81</f>
        <v>0</v>
      </c>
    </row>
    <row r="83" spans="1:9" s="782" customFormat="1" ht="27" customHeight="1">
      <c r="A83" s="886"/>
      <c r="B83" s="885"/>
      <c r="C83" s="874"/>
      <c r="D83" s="874"/>
      <c r="E83" s="884"/>
      <c r="F83" s="1099"/>
      <c r="G83" s="884"/>
      <c r="H83" s="1100"/>
      <c r="I83" s="798"/>
    </row>
    <row r="84" spans="1:9" s="782" customFormat="1" ht="24" customHeight="1">
      <c r="A84" s="2007" t="s">
        <v>737</v>
      </c>
      <c r="B84" s="2007"/>
      <c r="C84" s="927">
        <f>C67-C82</f>
        <v>405090827</v>
      </c>
      <c r="D84" s="927">
        <f>D67-D82</f>
        <v>405090827</v>
      </c>
      <c r="E84" s="927">
        <f>E67-E82</f>
        <v>371129820.35</v>
      </c>
      <c r="F84" s="1279">
        <f>(E84/E67)*100</f>
        <v>58.70269370778397</v>
      </c>
      <c r="G84" s="927">
        <f>G67-G82</f>
        <v>208591595.39000002</v>
      </c>
      <c r="H84" s="1279">
        <f>(G84/G67)*100</f>
        <v>57.97681557853049</v>
      </c>
      <c r="I84" s="927">
        <f>I67-I82</f>
        <v>0</v>
      </c>
    </row>
    <row r="85" spans="1:9" s="782" customFormat="1" ht="21" customHeight="1" thickBot="1">
      <c r="A85" s="885"/>
      <c r="B85" s="885"/>
      <c r="C85" s="874"/>
      <c r="D85" s="874"/>
      <c r="E85" s="884"/>
      <c r="F85" s="1100"/>
      <c r="G85" s="884"/>
      <c r="H85" s="1099"/>
      <c r="I85" s="798"/>
    </row>
    <row r="86" spans="1:9" s="782" customFormat="1" ht="39.75" customHeight="1">
      <c r="A86" s="2002" t="s">
        <v>738</v>
      </c>
      <c r="B86" s="2003"/>
      <c r="C86" s="2003"/>
      <c r="D86" s="2003"/>
      <c r="E86" s="2003"/>
      <c r="F86" s="2003"/>
      <c r="G86" s="2003"/>
      <c r="H86" s="2028">
        <f>G84/E30*100</f>
        <v>26.275479528432804</v>
      </c>
      <c r="I86" s="2029"/>
    </row>
    <row r="87" spans="1:9" s="782" customFormat="1" ht="23.25" customHeight="1">
      <c r="A87" s="2004"/>
      <c r="B87" s="2004"/>
      <c r="C87" s="1101"/>
      <c r="D87" s="1101"/>
      <c r="E87" s="1101"/>
      <c r="F87" s="1102"/>
      <c r="G87" s="1102"/>
      <c r="H87" s="1103"/>
      <c r="I87" s="798"/>
    </row>
    <row r="88" spans="1:12" s="783" customFormat="1" ht="23.25" customHeight="1">
      <c r="A88" s="2010" t="s">
        <v>916</v>
      </c>
      <c r="B88" s="2011"/>
      <c r="C88" s="2011"/>
      <c r="D88" s="2011"/>
      <c r="E88" s="2011"/>
      <c r="F88" s="2011"/>
      <c r="G88" s="2012"/>
      <c r="H88" s="2030">
        <f>G84-(15*E30)/100</f>
        <v>89511982.496</v>
      </c>
      <c r="I88" s="2031"/>
      <c r="J88" s="1285"/>
      <c r="K88" s="800"/>
      <c r="L88" s="800"/>
    </row>
    <row r="89" spans="1:12" s="783" customFormat="1" ht="38.25" customHeight="1">
      <c r="A89" s="889"/>
      <c r="B89" s="808"/>
      <c r="C89" s="808"/>
      <c r="D89" s="808"/>
      <c r="E89" s="808"/>
      <c r="F89" s="808"/>
      <c r="G89" s="808"/>
      <c r="H89" s="470"/>
      <c r="I89" s="793"/>
      <c r="K89" s="800"/>
      <c r="L89" s="800"/>
    </row>
    <row r="90" spans="1:9" ht="33.75" customHeight="1">
      <c r="A90" s="2013" t="s">
        <v>740</v>
      </c>
      <c r="B90" s="2014"/>
      <c r="C90" s="1083" t="s">
        <v>741</v>
      </c>
      <c r="D90" s="1253" t="s">
        <v>926</v>
      </c>
      <c r="E90" s="2015" t="s">
        <v>742</v>
      </c>
      <c r="F90" s="2016"/>
      <c r="G90" s="981" t="s">
        <v>743</v>
      </c>
      <c r="H90" s="2032" t="s">
        <v>744</v>
      </c>
      <c r="I90" s="2033"/>
    </row>
    <row r="91" spans="1:9" s="890" customFormat="1" ht="33" customHeight="1">
      <c r="A91" s="1982" t="s">
        <v>839</v>
      </c>
      <c r="B91" s="1982"/>
      <c r="C91" s="897">
        <v>48085545.74</v>
      </c>
      <c r="D91" s="897">
        <v>2162123.62</v>
      </c>
      <c r="E91" s="2023">
        <v>17773389.9</v>
      </c>
      <c r="F91" s="2024"/>
      <c r="G91" s="897">
        <f>C91-D91-E91</f>
        <v>28150032.220000006</v>
      </c>
      <c r="H91" s="2034"/>
      <c r="I91" s="2034"/>
    </row>
    <row r="92" spans="1:9" ht="23.25" customHeight="1">
      <c r="A92" s="1982" t="s">
        <v>809</v>
      </c>
      <c r="B92" s="1982"/>
      <c r="C92" s="897"/>
      <c r="D92" s="897"/>
      <c r="E92" s="2023"/>
      <c r="F92" s="2024"/>
      <c r="G92" s="897"/>
      <c r="H92" s="2005"/>
      <c r="I92" s="2005"/>
    </row>
    <row r="93" spans="1:9" ht="24.75" customHeight="1">
      <c r="A93" s="1982" t="s">
        <v>752</v>
      </c>
      <c r="B93" s="1982"/>
      <c r="C93" s="897"/>
      <c r="D93" s="897"/>
      <c r="E93" s="2023"/>
      <c r="F93" s="2024"/>
      <c r="G93" s="897"/>
      <c r="H93" s="2005"/>
      <c r="I93" s="2005"/>
    </row>
    <row r="94" spans="1:9" ht="22.5" customHeight="1">
      <c r="A94" s="1982" t="s">
        <v>745</v>
      </c>
      <c r="B94" s="1982"/>
      <c r="C94" s="897"/>
      <c r="D94" s="897"/>
      <c r="E94" s="2023"/>
      <c r="F94" s="2024"/>
      <c r="G94" s="897"/>
      <c r="H94" s="2005"/>
      <c r="I94" s="2005"/>
    </row>
    <row r="95" spans="1:9" ht="22.5" customHeight="1">
      <c r="A95" s="1982" t="s">
        <v>751</v>
      </c>
      <c r="B95" s="1982"/>
      <c r="C95" s="897"/>
      <c r="D95" s="897"/>
      <c r="E95" s="2023"/>
      <c r="F95" s="2024"/>
      <c r="G95" s="897"/>
      <c r="H95" s="2005"/>
      <c r="I95" s="2005"/>
    </row>
    <row r="96" spans="1:9" ht="22.5" customHeight="1">
      <c r="A96" s="2048" t="s">
        <v>396</v>
      </c>
      <c r="B96" s="2049"/>
      <c r="C96" s="897">
        <f>SUM(C91:C95)</f>
        <v>48085545.74</v>
      </c>
      <c r="D96" s="897">
        <f>SUM(D91:D95)</f>
        <v>2162123.62</v>
      </c>
      <c r="E96" s="2023">
        <f>SUM(E91:E95)</f>
        <v>17773389.9</v>
      </c>
      <c r="F96" s="2024"/>
      <c r="G96" s="897">
        <f>SUM(G91:G95)</f>
        <v>28150032.220000006</v>
      </c>
      <c r="H96" s="2005"/>
      <c r="I96" s="2005"/>
    </row>
    <row r="97" spans="1:9" ht="21" customHeight="1">
      <c r="A97" s="889"/>
      <c r="B97" s="808"/>
      <c r="C97" s="808"/>
      <c r="D97" s="808"/>
      <c r="E97" s="808"/>
      <c r="F97" s="808"/>
      <c r="G97" s="808"/>
      <c r="H97" s="470"/>
      <c r="I97" s="801"/>
    </row>
    <row r="98" spans="1:9" ht="18" customHeight="1">
      <c r="A98" s="889"/>
      <c r="B98" s="808"/>
      <c r="C98" s="808"/>
      <c r="D98" s="808"/>
      <c r="E98" s="808"/>
      <c r="F98" s="808"/>
      <c r="G98" s="808"/>
      <c r="H98" s="470"/>
      <c r="I98" s="801"/>
    </row>
    <row r="99" spans="1:9" ht="18" customHeight="1">
      <c r="A99" s="2001" t="s">
        <v>313</v>
      </c>
      <c r="B99" s="2001"/>
      <c r="C99" s="2001"/>
      <c r="D99" s="2001"/>
      <c r="E99" s="2001"/>
      <c r="F99" s="2001"/>
      <c r="G99" s="2001"/>
      <c r="H99" s="470"/>
      <c r="I99" s="801"/>
    </row>
    <row r="100" spans="1:9" ht="12.75">
      <c r="A100" s="2001" t="s">
        <v>0</v>
      </c>
      <c r="B100" s="2001"/>
      <c r="C100" s="2001"/>
      <c r="D100" s="2001"/>
      <c r="E100" s="2001"/>
      <c r="F100" s="2001"/>
      <c r="G100" s="2001"/>
      <c r="H100" s="470"/>
      <c r="I100" s="801"/>
    </row>
    <row r="101" spans="1:9" ht="12.75">
      <c r="A101" s="2021" t="s">
        <v>739</v>
      </c>
      <c r="B101" s="2021"/>
      <c r="C101" s="2021"/>
      <c r="D101" s="2021"/>
      <c r="E101" s="2021"/>
      <c r="F101" s="2021"/>
      <c r="G101" s="2022"/>
      <c r="H101" s="470"/>
      <c r="I101" s="801"/>
    </row>
    <row r="102" spans="1:9" ht="12.75">
      <c r="A102" s="2001" t="s">
        <v>2</v>
      </c>
      <c r="B102" s="2001"/>
      <c r="C102" s="2001"/>
      <c r="D102" s="2001"/>
      <c r="E102" s="2001"/>
      <c r="F102" s="2001"/>
      <c r="G102" s="2001"/>
      <c r="H102" s="470"/>
      <c r="I102" s="121"/>
    </row>
    <row r="103" spans="1:9" ht="12.75">
      <c r="A103" s="2025" t="str">
        <f>A5</f>
        <v>Referência: JANEIRO-JUNHO/2015; BIMESTRE: MAIO-JUNHO/2015</v>
      </c>
      <c r="B103" s="2025"/>
      <c r="C103" s="2025"/>
      <c r="D103" s="2025"/>
      <c r="E103" s="1104"/>
      <c r="F103" s="903"/>
      <c r="G103" s="775"/>
      <c r="H103" s="470"/>
      <c r="I103" s="121"/>
    </row>
    <row r="104" spans="1:8" ht="12.75">
      <c r="A104" s="802"/>
      <c r="B104" s="802"/>
      <c r="C104" s="802"/>
      <c r="D104" s="802"/>
      <c r="E104" s="1105" t="str">
        <f>E53</f>
        <v>Publicação: Diário Oficial do Município nº 140</v>
      </c>
      <c r="F104" s="1106"/>
      <c r="G104" s="775"/>
      <c r="H104" s="470"/>
    </row>
    <row r="105" spans="1:8" ht="12.75">
      <c r="A105" s="802"/>
      <c r="B105" s="802"/>
      <c r="C105" s="802"/>
      <c r="D105" s="802"/>
      <c r="E105" s="1107" t="str">
        <f>E54</f>
        <v>Data: 30/07/2015</v>
      </c>
      <c r="F105" s="805"/>
      <c r="G105" s="775"/>
      <c r="H105" s="470"/>
    </row>
    <row r="106" spans="1:9" ht="12.75">
      <c r="A106" s="778" t="s">
        <v>692</v>
      </c>
      <c r="B106" s="804"/>
      <c r="C106" s="804"/>
      <c r="D106" s="470"/>
      <c r="E106" s="805"/>
      <c r="F106" s="805"/>
      <c r="G106" s="1086"/>
      <c r="H106" s="807"/>
      <c r="I106" s="807" t="s">
        <v>537</v>
      </c>
    </row>
    <row r="107" spans="1:9" ht="21.75" customHeight="1">
      <c r="A107" s="2026" t="s">
        <v>927</v>
      </c>
      <c r="B107" s="2026"/>
      <c r="C107" s="2017" t="s">
        <v>909</v>
      </c>
      <c r="D107" s="2018"/>
      <c r="E107" s="2018"/>
      <c r="F107" s="2018"/>
      <c r="G107" s="2018"/>
      <c r="H107" s="2018"/>
      <c r="I107" s="2019"/>
    </row>
    <row r="108" spans="1:9" ht="39.75" customHeight="1">
      <c r="A108" s="2026"/>
      <c r="B108" s="2026"/>
      <c r="C108" s="2027" t="s">
        <v>746</v>
      </c>
      <c r="D108" s="2027"/>
      <c r="E108" s="1993" t="s">
        <v>747</v>
      </c>
      <c r="F108" s="1993"/>
      <c r="G108" s="2020" t="s">
        <v>748</v>
      </c>
      <c r="H108" s="2020"/>
      <c r="I108" s="2020"/>
    </row>
    <row r="109" spans="1:9" ht="34.5" customHeight="1">
      <c r="A109" s="1982" t="s">
        <v>751</v>
      </c>
      <c r="B109" s="1982"/>
      <c r="C109" s="2057"/>
      <c r="D109" s="2057"/>
      <c r="E109" s="1992"/>
      <c r="F109" s="1992"/>
      <c r="G109" s="2006">
        <f>C109-E109</f>
        <v>0</v>
      </c>
      <c r="H109" s="2006"/>
      <c r="I109" s="2006"/>
    </row>
    <row r="110" spans="1:9" ht="17.25" customHeight="1">
      <c r="A110" s="1982" t="s">
        <v>745</v>
      </c>
      <c r="B110" s="1982"/>
      <c r="C110" s="2057"/>
      <c r="D110" s="2057"/>
      <c r="E110" s="1992"/>
      <c r="F110" s="1992"/>
      <c r="G110" s="2006">
        <f>C110-E110</f>
        <v>0</v>
      </c>
      <c r="H110" s="2006"/>
      <c r="I110" s="2006"/>
    </row>
    <row r="111" spans="1:9" ht="15.75" customHeight="1">
      <c r="A111" s="1982" t="s">
        <v>752</v>
      </c>
      <c r="B111" s="1982"/>
      <c r="C111" s="1995"/>
      <c r="D111" s="1996"/>
      <c r="E111" s="1997"/>
      <c r="F111" s="1998"/>
      <c r="G111" s="2006"/>
      <c r="H111" s="2006"/>
      <c r="I111" s="2006"/>
    </row>
    <row r="112" spans="1:9" ht="17.25" customHeight="1">
      <c r="A112" s="1982" t="s">
        <v>809</v>
      </c>
      <c r="B112" s="1982"/>
      <c r="C112" s="1995"/>
      <c r="D112" s="1996"/>
      <c r="E112" s="1997"/>
      <c r="F112" s="1998"/>
      <c r="G112" s="2006"/>
      <c r="H112" s="2006"/>
      <c r="I112" s="2006"/>
    </row>
    <row r="113" spans="1:9" ht="16.5" customHeight="1">
      <c r="A113" s="1982" t="s">
        <v>839</v>
      </c>
      <c r="B113" s="1982"/>
      <c r="C113" s="2057"/>
      <c r="D113" s="2057"/>
      <c r="E113" s="1992"/>
      <c r="F113" s="1992"/>
      <c r="G113" s="2006">
        <f>C113-E113</f>
        <v>0</v>
      </c>
      <c r="H113" s="2006"/>
      <c r="I113" s="2006"/>
    </row>
    <row r="114" spans="1:9" ht="17.25" customHeight="1">
      <c r="A114" s="2056" t="s">
        <v>749</v>
      </c>
      <c r="B114" s="2056"/>
      <c r="C114" s="2090">
        <f>SUM(C109:C113)</f>
        <v>0</v>
      </c>
      <c r="D114" s="2091"/>
      <c r="E114" s="2090">
        <f>SUM(E109:E113)</f>
        <v>0</v>
      </c>
      <c r="F114" s="2091"/>
      <c r="G114" s="2064">
        <f>SUM(G109:G113)</f>
        <v>0</v>
      </c>
      <c r="H114" s="2064"/>
      <c r="I114" s="2064"/>
    </row>
    <row r="115" spans="1:8" ht="18" customHeight="1">
      <c r="A115" s="803"/>
      <c r="B115" s="804"/>
      <c r="C115" s="804"/>
      <c r="D115" s="470"/>
      <c r="E115" s="805"/>
      <c r="F115" s="805"/>
      <c r="G115" s="1086"/>
      <c r="H115" s="470"/>
    </row>
    <row r="116" spans="1:9" ht="18" customHeight="1">
      <c r="A116" s="2096" t="s">
        <v>928</v>
      </c>
      <c r="B116" s="2096"/>
      <c r="C116" s="2087" t="s">
        <v>911</v>
      </c>
      <c r="D116" s="2099"/>
      <c r="E116" s="2099"/>
      <c r="F116" s="2099"/>
      <c r="G116" s="2099"/>
      <c r="H116" s="2099"/>
      <c r="I116" s="2088"/>
    </row>
    <row r="117" spans="1:9" ht="34.5" customHeight="1">
      <c r="A117" s="2096"/>
      <c r="B117" s="2096"/>
      <c r="C117" s="2097" t="s">
        <v>746</v>
      </c>
      <c r="D117" s="2097"/>
      <c r="E117" s="1994" t="s">
        <v>750</v>
      </c>
      <c r="F117" s="1994"/>
      <c r="G117" s="2098" t="s">
        <v>748</v>
      </c>
      <c r="H117" s="2098"/>
      <c r="I117" s="2098"/>
    </row>
    <row r="118" spans="1:9" ht="36" customHeight="1">
      <c r="A118" s="1982" t="s">
        <v>751</v>
      </c>
      <c r="B118" s="1982"/>
      <c r="C118" s="2057"/>
      <c r="D118" s="2057"/>
      <c r="E118" s="1992"/>
      <c r="F118" s="1992"/>
      <c r="G118" s="2006">
        <f>C118-E118</f>
        <v>0</v>
      </c>
      <c r="H118" s="2006"/>
      <c r="I118" s="2006"/>
    </row>
    <row r="119" spans="1:9" ht="18.75" customHeight="1">
      <c r="A119" s="1982" t="s">
        <v>745</v>
      </c>
      <c r="B119" s="1982"/>
      <c r="C119" s="2057"/>
      <c r="D119" s="2057"/>
      <c r="E119" s="1992"/>
      <c r="F119" s="1992"/>
      <c r="G119" s="2006">
        <f>C119-E119</f>
        <v>0</v>
      </c>
      <c r="H119" s="2006"/>
      <c r="I119" s="2006"/>
    </row>
    <row r="120" spans="1:9" ht="18.75" customHeight="1">
      <c r="A120" s="1982" t="s">
        <v>752</v>
      </c>
      <c r="B120" s="1982"/>
      <c r="C120" s="1995"/>
      <c r="D120" s="1996"/>
      <c r="E120" s="1997"/>
      <c r="F120" s="1998"/>
      <c r="G120" s="2006">
        <f>C120-E120</f>
        <v>0</v>
      </c>
      <c r="H120" s="2006"/>
      <c r="I120" s="2006"/>
    </row>
    <row r="121" spans="1:9" ht="18" customHeight="1">
      <c r="A121" s="1982" t="s">
        <v>809</v>
      </c>
      <c r="B121" s="1982"/>
      <c r="C121" s="1995"/>
      <c r="D121" s="1996"/>
      <c r="E121" s="1997"/>
      <c r="F121" s="1998"/>
      <c r="G121" s="2006">
        <f>C121-E121</f>
        <v>0</v>
      </c>
      <c r="H121" s="2006"/>
      <c r="I121" s="2006"/>
    </row>
    <row r="122" spans="1:9" ht="18" customHeight="1">
      <c r="A122" s="1982" t="s">
        <v>839</v>
      </c>
      <c r="B122" s="1982"/>
      <c r="C122" s="2057"/>
      <c r="D122" s="2057"/>
      <c r="E122" s="1992"/>
      <c r="F122" s="1992"/>
      <c r="G122" s="2006">
        <f>C122-E122</f>
        <v>0</v>
      </c>
      <c r="H122" s="2006"/>
      <c r="I122" s="2006"/>
    </row>
    <row r="123" spans="1:9" ht="18" customHeight="1">
      <c r="A123" s="2056" t="s">
        <v>753</v>
      </c>
      <c r="B123" s="2056"/>
      <c r="C123" s="2090">
        <f>SUM(C118:C122)</f>
        <v>0</v>
      </c>
      <c r="D123" s="2091"/>
      <c r="E123" s="2090">
        <f>SUM(E118:E122)</f>
        <v>0</v>
      </c>
      <c r="F123" s="2091"/>
      <c r="G123" s="2064">
        <f>SUM(G118:G122)</f>
        <v>0</v>
      </c>
      <c r="H123" s="2064"/>
      <c r="I123" s="2064"/>
    </row>
    <row r="124" spans="1:8" ht="19.5" customHeight="1">
      <c r="A124" s="803"/>
      <c r="B124" s="804"/>
      <c r="C124" s="804"/>
      <c r="D124" s="470"/>
      <c r="E124" s="805"/>
      <c r="F124" s="805"/>
      <c r="G124" s="1086"/>
      <c r="H124" s="470"/>
    </row>
    <row r="125" spans="1:8" ht="12.75">
      <c r="A125" s="803"/>
      <c r="B125" s="804"/>
      <c r="C125" s="804"/>
      <c r="D125" s="470"/>
      <c r="E125" s="805"/>
      <c r="F125" s="805"/>
      <c r="G125" s="1086"/>
      <c r="H125" s="470"/>
    </row>
    <row r="126" spans="1:8" ht="12.75">
      <c r="A126" s="1086"/>
      <c r="B126" s="1086"/>
      <c r="C126" s="1086"/>
      <c r="D126" s="1086"/>
      <c r="E126" s="1086"/>
      <c r="F126" s="1086"/>
      <c r="G126" s="1086"/>
      <c r="H126" s="470"/>
    </row>
    <row r="127" spans="1:9" ht="12.75">
      <c r="A127" s="1983" t="s">
        <v>754</v>
      </c>
      <c r="B127" s="1984"/>
      <c r="C127" s="1989" t="s">
        <v>424</v>
      </c>
      <c r="D127" s="1989" t="s">
        <v>842</v>
      </c>
      <c r="E127" s="2087" t="s">
        <v>645</v>
      </c>
      <c r="F127" s="2088"/>
      <c r="G127" s="2015" t="s">
        <v>257</v>
      </c>
      <c r="H127" s="2016"/>
      <c r="I127" s="1989" t="s">
        <v>239</v>
      </c>
    </row>
    <row r="128" spans="1:9" ht="29.25" customHeight="1">
      <c r="A128" s="1985"/>
      <c r="B128" s="1986"/>
      <c r="C128" s="1990"/>
      <c r="D128" s="1990"/>
      <c r="E128" s="1989" t="s">
        <v>912</v>
      </c>
      <c r="F128" s="1989" t="s">
        <v>914</v>
      </c>
      <c r="G128" s="1989" t="s">
        <v>913</v>
      </c>
      <c r="H128" s="1989" t="s">
        <v>915</v>
      </c>
      <c r="I128" s="1990"/>
    </row>
    <row r="129" spans="1:9" ht="21.75" customHeight="1">
      <c r="A129" s="1987"/>
      <c r="B129" s="1988"/>
      <c r="C129" s="1991"/>
      <c r="D129" s="1991"/>
      <c r="E129" s="1991"/>
      <c r="F129" s="1991"/>
      <c r="G129" s="1991"/>
      <c r="H129" s="1991"/>
      <c r="I129" s="1991"/>
    </row>
    <row r="130" spans="1:9" ht="24.75" customHeight="1">
      <c r="A130" s="1981" t="s">
        <v>602</v>
      </c>
      <c r="B130" s="1981"/>
      <c r="C130" s="784">
        <v>71920070</v>
      </c>
      <c r="D130" s="784">
        <f>C130</f>
        <v>71920070</v>
      </c>
      <c r="E130" s="784">
        <v>53800098.2</v>
      </c>
      <c r="F130" s="1236">
        <f>(E130/E137)*100</f>
        <v>8.509719545319474</v>
      </c>
      <c r="G130" s="1108">
        <v>36246384.18</v>
      </c>
      <c r="H130" s="1236">
        <f>(G130/G137)*100</f>
        <v>10.074470771765187</v>
      </c>
      <c r="I130" s="1247"/>
    </row>
    <row r="131" spans="1:9" ht="18" customHeight="1">
      <c r="A131" s="1981" t="s">
        <v>603</v>
      </c>
      <c r="B131" s="1981"/>
      <c r="C131" s="784">
        <v>369060376</v>
      </c>
      <c r="D131" s="784">
        <f>C131</f>
        <v>369060376</v>
      </c>
      <c r="E131" s="784">
        <v>304308361.66</v>
      </c>
      <c r="F131" s="1236">
        <f>(E131/E137)*100</f>
        <v>48.133347329508204</v>
      </c>
      <c r="G131" s="1108">
        <v>189390276.25</v>
      </c>
      <c r="H131" s="1236">
        <f>(G131/G137)*100</f>
        <v>52.63992107631961</v>
      </c>
      <c r="I131" s="1247"/>
    </row>
    <row r="132" spans="1:9" ht="18" customHeight="1">
      <c r="A132" s="1981" t="s">
        <v>604</v>
      </c>
      <c r="B132" s="1981"/>
      <c r="C132" s="784">
        <v>26135188</v>
      </c>
      <c r="D132" s="784">
        <f>C132</f>
        <v>26135188</v>
      </c>
      <c r="E132" s="784">
        <v>10417464.55</v>
      </c>
      <c r="F132" s="1236">
        <f>(E132/E137)*100</f>
        <v>1.6477609643806883</v>
      </c>
      <c r="G132" s="1108">
        <v>3356439.03</v>
      </c>
      <c r="H132" s="1236">
        <f>(G132/G137)*100</f>
        <v>0.9329026238044716</v>
      </c>
      <c r="I132" s="1247"/>
    </row>
    <row r="133" spans="1:9" ht="18" customHeight="1">
      <c r="A133" s="1981" t="s">
        <v>605</v>
      </c>
      <c r="B133" s="1981"/>
      <c r="C133" s="784">
        <v>23473759</v>
      </c>
      <c r="D133" s="784">
        <f>C133</f>
        <v>23473759</v>
      </c>
      <c r="E133" s="784">
        <v>16919701.37</v>
      </c>
      <c r="F133" s="1236">
        <f>(E133/E137)*100</f>
        <v>2.676238859527912</v>
      </c>
      <c r="G133" s="1108">
        <v>10472542.18</v>
      </c>
      <c r="H133" s="1236">
        <f>(G133/G137)*100</f>
        <v>2.9107819299863764</v>
      </c>
      <c r="I133" s="1248"/>
    </row>
    <row r="134" spans="1:11" ht="18" customHeight="1">
      <c r="A134" s="2042" t="s">
        <v>606</v>
      </c>
      <c r="B134" s="2043"/>
      <c r="C134" s="784"/>
      <c r="D134" s="784"/>
      <c r="E134" s="784"/>
      <c r="F134" s="1236">
        <f>(E134/E137)*100</f>
        <v>0</v>
      </c>
      <c r="G134" s="1108"/>
      <c r="H134" s="1236">
        <f>(G134/G137)*100</f>
        <v>0</v>
      </c>
      <c r="I134" s="1248"/>
      <c r="J134" s="809"/>
      <c r="K134" s="809"/>
    </row>
    <row r="135" spans="1:9" ht="18" customHeight="1">
      <c r="A135" s="2042" t="s">
        <v>607</v>
      </c>
      <c r="B135" s="2043"/>
      <c r="C135" s="784"/>
      <c r="D135" s="784"/>
      <c r="E135" s="1089"/>
      <c r="F135" s="1236">
        <f>(E135/E137)*100</f>
        <v>0</v>
      </c>
      <c r="G135" s="1108"/>
      <c r="H135" s="1236">
        <f>(G135/G137)*100</f>
        <v>0</v>
      </c>
      <c r="I135" s="1248"/>
    </row>
    <row r="136" spans="1:9" ht="18" customHeight="1">
      <c r="A136" s="2042" t="s">
        <v>608</v>
      </c>
      <c r="B136" s="2043"/>
      <c r="C136" s="784">
        <v>257098708</v>
      </c>
      <c r="D136" s="784">
        <f>C136</f>
        <v>257098708</v>
      </c>
      <c r="E136" s="784">
        <v>246773778.32</v>
      </c>
      <c r="F136" s="1236">
        <f>(E136/E137)*100</f>
        <v>39.032933301263725</v>
      </c>
      <c r="G136" s="1108">
        <v>120318857.23</v>
      </c>
      <c r="H136" s="1236">
        <f>(G136/G137)*100</f>
        <v>33.44192359812436</v>
      </c>
      <c r="I136" s="1247"/>
    </row>
    <row r="137" spans="1:9" s="594" customFormat="1" ht="18" customHeight="1">
      <c r="A137" s="786" t="s">
        <v>396</v>
      </c>
      <c r="B137" s="786"/>
      <c r="C137" s="976">
        <f>SUM(C130:C136)</f>
        <v>747688101</v>
      </c>
      <c r="D137" s="976">
        <f>SUM(D130:D136)</f>
        <v>747688101</v>
      </c>
      <c r="E137" s="1088">
        <f>SUM(E130:E136)</f>
        <v>632219404.1</v>
      </c>
      <c r="F137" s="1275">
        <f>(E137/E137)*100</f>
        <v>100</v>
      </c>
      <c r="G137" s="1280">
        <f>SUM(G130:G136)</f>
        <v>359784498.87</v>
      </c>
      <c r="H137" s="1275">
        <f>(G137/G137)*100</f>
        <v>100</v>
      </c>
      <c r="I137" s="1281">
        <f>SUM(I130:I136)</f>
        <v>0</v>
      </c>
    </row>
    <row r="138" spans="1:9" s="594" customFormat="1" ht="18" customHeight="1">
      <c r="A138" s="470"/>
      <c r="B138" s="470"/>
      <c r="C138" s="811"/>
      <c r="D138" s="811"/>
      <c r="E138" s="811"/>
      <c r="F138" s="812"/>
      <c r="G138" s="470"/>
      <c r="H138" s="470"/>
      <c r="I138" s="810"/>
    </row>
    <row r="139" spans="1:8" ht="12.75">
      <c r="A139" s="813" t="s">
        <v>89</v>
      </c>
      <c r="B139" s="814"/>
      <c r="C139" s="814"/>
      <c r="D139" s="814"/>
      <c r="E139" s="814"/>
      <c r="F139" s="814"/>
      <c r="G139" s="814"/>
      <c r="H139" s="815"/>
    </row>
    <row r="140" spans="1:8" ht="12.75">
      <c r="A140" s="1980" t="s">
        <v>755</v>
      </c>
      <c r="B140" s="1980"/>
      <c r="C140" s="1980"/>
      <c r="D140" s="1980"/>
      <c r="E140" s="1980"/>
      <c r="F140" s="1980"/>
      <c r="G140" s="1980"/>
      <c r="H140" s="816"/>
    </row>
    <row r="141" spans="1:8" ht="12.75" customHeight="1">
      <c r="A141" s="1980" t="s">
        <v>757</v>
      </c>
      <c r="B141" s="1980"/>
      <c r="C141" s="1980"/>
      <c r="D141" s="1980"/>
      <c r="E141" s="1980"/>
      <c r="F141" s="1980"/>
      <c r="G141" s="1980"/>
      <c r="H141" s="817"/>
    </row>
    <row r="142" spans="1:8" ht="12.75">
      <c r="A142" s="1980" t="s">
        <v>756</v>
      </c>
      <c r="B142" s="1980"/>
      <c r="C142" s="1980"/>
      <c r="D142" s="1980"/>
      <c r="E142" s="1980"/>
      <c r="F142" s="1980"/>
      <c r="G142" s="1980"/>
      <c r="H142" s="815"/>
    </row>
    <row r="143" spans="1:8" ht="12.75">
      <c r="A143" s="2093" t="s">
        <v>758</v>
      </c>
      <c r="B143" s="2093"/>
      <c r="C143" s="2093"/>
      <c r="D143" s="2093"/>
      <c r="E143" s="2093"/>
      <c r="F143" s="2093"/>
      <c r="G143" s="2093"/>
      <c r="H143" s="815"/>
    </row>
    <row r="144" spans="1:8" ht="12.75">
      <c r="A144" s="2089" t="s">
        <v>759</v>
      </c>
      <c r="B144" s="2089"/>
      <c r="C144" s="2089"/>
      <c r="D144" s="2089"/>
      <c r="E144" s="2089"/>
      <c r="F144" s="2089"/>
      <c r="G144" s="2089"/>
      <c r="H144" s="815"/>
    </row>
    <row r="145" spans="1:8" ht="12.75">
      <c r="A145" s="813"/>
      <c r="B145" s="818"/>
      <c r="C145" s="814"/>
      <c r="D145" s="814"/>
      <c r="E145" s="814"/>
      <c r="F145" s="814"/>
      <c r="G145" s="814"/>
      <c r="H145" s="815"/>
    </row>
    <row r="146" spans="1:8" ht="12.75">
      <c r="A146" s="2094" t="str">
        <f>'Anexo 1 _ BAL ORC'!A102</f>
        <v>  São Luís, 30 de Julho de 2015</v>
      </c>
      <c r="B146" s="2094"/>
      <c r="C146" s="2094"/>
      <c r="D146" s="2094"/>
      <c r="E146" s="2094"/>
      <c r="F146" s="819"/>
      <c r="G146" s="820"/>
      <c r="H146" s="820"/>
    </row>
    <row r="147" spans="1:8" ht="12.75">
      <c r="A147" s="470"/>
      <c r="B147" s="470"/>
      <c r="C147" s="470"/>
      <c r="D147" s="470"/>
      <c r="E147" s="470"/>
      <c r="F147" s="470"/>
      <c r="G147" s="470"/>
      <c r="H147" s="470"/>
    </row>
    <row r="148" spans="1:8" ht="12.75">
      <c r="A148" s="470"/>
      <c r="B148" s="470"/>
      <c r="C148" s="470"/>
      <c r="D148" s="470"/>
      <c r="E148" s="470"/>
      <c r="F148" s="470"/>
      <c r="G148" s="470"/>
      <c r="H148" s="470"/>
    </row>
    <row r="149" spans="1:8" ht="12.75">
      <c r="A149" s="470"/>
      <c r="B149" s="470"/>
      <c r="C149" s="470"/>
      <c r="D149" s="470"/>
      <c r="E149" s="470"/>
      <c r="F149" s="470"/>
      <c r="G149" s="470"/>
      <c r="H149" s="470"/>
    </row>
    <row r="150" spans="1:8" ht="12.75">
      <c r="A150" s="470"/>
      <c r="B150" s="1109"/>
      <c r="C150" s="470"/>
      <c r="D150" s="1109"/>
      <c r="E150" s="470"/>
      <c r="F150" s="470"/>
      <c r="G150" s="470"/>
      <c r="H150" s="470"/>
    </row>
    <row r="151" spans="1:8" ht="12.75">
      <c r="A151" s="470"/>
      <c r="B151" s="1110"/>
      <c r="C151" s="470"/>
      <c r="D151" s="1110"/>
      <c r="E151" s="470"/>
      <c r="F151" s="470"/>
      <c r="G151" s="470"/>
      <c r="H151" s="470"/>
    </row>
    <row r="152" spans="1:8" ht="12.75">
      <c r="A152" s="470"/>
      <c r="B152" s="470"/>
      <c r="C152" s="470"/>
      <c r="D152" s="470"/>
      <c r="E152" s="470"/>
      <c r="F152" s="470"/>
      <c r="G152" s="470"/>
      <c r="H152" s="470"/>
    </row>
    <row r="153" spans="1:8" ht="12.75">
      <c r="A153" s="470"/>
      <c r="B153" s="470"/>
      <c r="C153" s="470"/>
      <c r="D153" s="470"/>
      <c r="E153" s="470"/>
      <c r="F153" s="470"/>
      <c r="G153" s="470"/>
      <c r="H153" s="470"/>
    </row>
    <row r="154" spans="1:8" ht="12.75">
      <c r="A154" s="470"/>
      <c r="B154" s="470"/>
      <c r="C154" s="470"/>
      <c r="D154" s="470"/>
      <c r="E154" s="470"/>
      <c r="F154" s="470"/>
      <c r="G154" s="470"/>
      <c r="H154" s="470"/>
    </row>
    <row r="155" spans="1:8" ht="12.75" customHeight="1">
      <c r="A155" s="1086"/>
      <c r="B155" s="1086"/>
      <c r="C155" s="1086"/>
      <c r="D155" s="1086"/>
      <c r="E155" s="1086"/>
      <c r="F155" s="1086"/>
      <c r="G155" s="1086"/>
      <c r="H155" s="1086"/>
    </row>
    <row r="156" spans="1:8" ht="12.75">
      <c r="A156" s="1086"/>
      <c r="B156" s="2095"/>
      <c r="C156" s="2095"/>
      <c r="D156" s="1111"/>
      <c r="E156" s="1086"/>
      <c r="F156" s="1086"/>
      <c r="G156" s="1086"/>
      <c r="H156" s="1086"/>
    </row>
    <row r="157" spans="1:8" ht="12.75">
      <c r="A157" s="1086"/>
      <c r="B157" s="2092"/>
      <c r="C157" s="2092"/>
      <c r="D157" s="1112"/>
      <c r="E157" s="1086"/>
      <c r="F157" s="1086"/>
      <c r="G157" s="1086"/>
      <c r="H157" s="1086"/>
    </row>
    <row r="158" spans="1:8" ht="12.75">
      <c r="A158" s="1086"/>
      <c r="B158" s="2092"/>
      <c r="C158" s="2092"/>
      <c r="D158" s="1112"/>
      <c r="E158" s="1086"/>
      <c r="F158" s="1086"/>
      <c r="G158" s="1086"/>
      <c r="H158" s="1086"/>
    </row>
    <row r="159" spans="1:8" ht="18" customHeight="1">
      <c r="A159" s="1086"/>
      <c r="B159" s="1086"/>
      <c r="C159" s="1086"/>
      <c r="D159" s="1086"/>
      <c r="E159" s="1086"/>
      <c r="F159" s="1086"/>
      <c r="G159" s="1086"/>
      <c r="H159" s="1086"/>
    </row>
    <row r="160" spans="1:8" ht="36" customHeight="1">
      <c r="A160" s="1086"/>
      <c r="B160" s="1086"/>
      <c r="C160" s="1086"/>
      <c r="D160" s="1086"/>
      <c r="E160" s="1086"/>
      <c r="F160" s="1086"/>
      <c r="G160" s="1086"/>
      <c r="H160" s="1086"/>
    </row>
    <row r="161" ht="12.75" hidden="1"/>
  </sheetData>
  <sheetProtection/>
  <mergeCells count="261">
    <mergeCell ref="G38:I38"/>
    <mergeCell ref="G39:I39"/>
    <mergeCell ref="G40:I40"/>
    <mergeCell ref="G41:I41"/>
    <mergeCell ref="G42:I42"/>
    <mergeCell ref="G43:I43"/>
    <mergeCell ref="G30:I30"/>
    <mergeCell ref="E33:I33"/>
    <mergeCell ref="G34:I34"/>
    <mergeCell ref="G35:I35"/>
    <mergeCell ref="G36:I36"/>
    <mergeCell ref="G37:I37"/>
    <mergeCell ref="G24:I24"/>
    <mergeCell ref="G25:I25"/>
    <mergeCell ref="G26:I26"/>
    <mergeCell ref="G27:I27"/>
    <mergeCell ref="G28:I28"/>
    <mergeCell ref="G29:I29"/>
    <mergeCell ref="I69:I71"/>
    <mergeCell ref="E70:E71"/>
    <mergeCell ref="F70:F71"/>
    <mergeCell ref="G70:G71"/>
    <mergeCell ref="H70:H71"/>
    <mergeCell ref="E56:F56"/>
    <mergeCell ref="E57:E58"/>
    <mergeCell ref="F57:F58"/>
    <mergeCell ref="H57:H58"/>
    <mergeCell ref="I56:I58"/>
    <mergeCell ref="C113:D113"/>
    <mergeCell ref="E112:F112"/>
    <mergeCell ref="E113:F113"/>
    <mergeCell ref="C116:I116"/>
    <mergeCell ref="G113:I113"/>
    <mergeCell ref="G114:I114"/>
    <mergeCell ref="G127:H127"/>
    <mergeCell ref="C120:D120"/>
    <mergeCell ref="G69:H69"/>
    <mergeCell ref="G119:I119"/>
    <mergeCell ref="G117:I117"/>
    <mergeCell ref="G118:I118"/>
    <mergeCell ref="C123:D123"/>
    <mergeCell ref="E120:F120"/>
    <mergeCell ref="C121:D121"/>
    <mergeCell ref="E121:F121"/>
    <mergeCell ref="A131:B131"/>
    <mergeCell ref="E123:F123"/>
    <mergeCell ref="C122:D122"/>
    <mergeCell ref="E127:F127"/>
    <mergeCell ref="A112:B112"/>
    <mergeCell ref="A116:B117"/>
    <mergeCell ref="C117:D117"/>
    <mergeCell ref="A123:B123"/>
    <mergeCell ref="C119:D119"/>
    <mergeCell ref="C118:D118"/>
    <mergeCell ref="B157:C157"/>
    <mergeCell ref="B158:C158"/>
    <mergeCell ref="A133:B133"/>
    <mergeCell ref="A134:B134"/>
    <mergeCell ref="A135:B135"/>
    <mergeCell ref="A136:B136"/>
    <mergeCell ref="A143:G143"/>
    <mergeCell ref="A146:E146"/>
    <mergeCell ref="B156:C156"/>
    <mergeCell ref="A142:G142"/>
    <mergeCell ref="A144:G144"/>
    <mergeCell ref="A141:G141"/>
    <mergeCell ref="A132:B132"/>
    <mergeCell ref="C110:D110"/>
    <mergeCell ref="E110:F110"/>
    <mergeCell ref="G120:I120"/>
    <mergeCell ref="G121:I121"/>
    <mergeCell ref="I127:I129"/>
    <mergeCell ref="C114:D114"/>
    <mergeCell ref="E114:F114"/>
    <mergeCell ref="A64:B64"/>
    <mergeCell ref="A73:B73"/>
    <mergeCell ref="A74:B74"/>
    <mergeCell ref="A69:B71"/>
    <mergeCell ref="A72:B72"/>
    <mergeCell ref="E69:F69"/>
    <mergeCell ref="A43:B43"/>
    <mergeCell ref="E23:F23"/>
    <mergeCell ref="E24:F24"/>
    <mergeCell ref="E25:F25"/>
    <mergeCell ref="E26:F26"/>
    <mergeCell ref="E27:F27"/>
    <mergeCell ref="E35:F35"/>
    <mergeCell ref="E36:F36"/>
    <mergeCell ref="E37:F37"/>
    <mergeCell ref="E38:F38"/>
    <mergeCell ref="A39:B39"/>
    <mergeCell ref="A40:B40"/>
    <mergeCell ref="A30:B30"/>
    <mergeCell ref="E30:F30"/>
    <mergeCell ref="A41:B41"/>
    <mergeCell ref="A42:B42"/>
    <mergeCell ref="E39:F39"/>
    <mergeCell ref="C33:C34"/>
    <mergeCell ref="D33:D34"/>
    <mergeCell ref="A35:B35"/>
    <mergeCell ref="A36:B36"/>
    <mergeCell ref="A37:B37"/>
    <mergeCell ref="A38:B38"/>
    <mergeCell ref="A20:B20"/>
    <mergeCell ref="E20:F20"/>
    <mergeCell ref="A21:B21"/>
    <mergeCell ref="E21:F21"/>
    <mergeCell ref="A28:B28"/>
    <mergeCell ref="E28:F28"/>
    <mergeCell ref="A23:B23"/>
    <mergeCell ref="E7:G7"/>
    <mergeCell ref="E14:F14"/>
    <mergeCell ref="E15:F15"/>
    <mergeCell ref="E16:F16"/>
    <mergeCell ref="E17:F17"/>
    <mergeCell ref="E22:F22"/>
    <mergeCell ref="E12:F12"/>
    <mergeCell ref="E13:F13"/>
    <mergeCell ref="E18:F18"/>
    <mergeCell ref="E19:F19"/>
    <mergeCell ref="A1:G1"/>
    <mergeCell ref="A2:G2"/>
    <mergeCell ref="A3:G3"/>
    <mergeCell ref="A4:G4"/>
    <mergeCell ref="E6:G6"/>
    <mergeCell ref="A5:D5"/>
    <mergeCell ref="A9:B11"/>
    <mergeCell ref="A14:B14"/>
    <mergeCell ref="A15:B15"/>
    <mergeCell ref="A16:B16"/>
    <mergeCell ref="A17:B17"/>
    <mergeCell ref="A22:B22"/>
    <mergeCell ref="A12:B12"/>
    <mergeCell ref="A13:B13"/>
    <mergeCell ref="A18:B18"/>
    <mergeCell ref="A19:B19"/>
    <mergeCell ref="A24:B24"/>
    <mergeCell ref="A25:B25"/>
    <mergeCell ref="A26:B26"/>
    <mergeCell ref="A27:B27"/>
    <mergeCell ref="A33:B34"/>
    <mergeCell ref="A29:B29"/>
    <mergeCell ref="E10:F11"/>
    <mergeCell ref="E9:I9"/>
    <mergeCell ref="G10:I10"/>
    <mergeCell ref="G11:I11"/>
    <mergeCell ref="G122:I122"/>
    <mergeCell ref="G123:I123"/>
    <mergeCell ref="G15:I15"/>
    <mergeCell ref="G16:I16"/>
    <mergeCell ref="G17:I17"/>
    <mergeCell ref="G18:I18"/>
    <mergeCell ref="E119:F119"/>
    <mergeCell ref="H128:H129"/>
    <mergeCell ref="E34:F34"/>
    <mergeCell ref="G21:I21"/>
    <mergeCell ref="G22:I22"/>
    <mergeCell ref="G23:I23"/>
    <mergeCell ref="E40:F40"/>
    <mergeCell ref="E41:F41"/>
    <mergeCell ref="A52:G52"/>
    <mergeCell ref="A66:B66"/>
    <mergeCell ref="A113:B113"/>
    <mergeCell ref="A114:B114"/>
    <mergeCell ref="A78:B78"/>
    <mergeCell ref="E93:F93"/>
    <mergeCell ref="E94:F94"/>
    <mergeCell ref="A118:B118"/>
    <mergeCell ref="C109:D109"/>
    <mergeCell ref="E109:F109"/>
    <mergeCell ref="E118:F118"/>
    <mergeCell ref="C112:D112"/>
    <mergeCell ref="E42:F42"/>
    <mergeCell ref="E29:F29"/>
    <mergeCell ref="E43:F43"/>
    <mergeCell ref="E92:F92"/>
    <mergeCell ref="A63:B63"/>
    <mergeCell ref="A91:B91"/>
    <mergeCell ref="A49:G49"/>
    <mergeCell ref="A53:D53"/>
    <mergeCell ref="E54:F54"/>
    <mergeCell ref="A65:B65"/>
    <mergeCell ref="A50:G50"/>
    <mergeCell ref="A51:G51"/>
    <mergeCell ref="G56:H56"/>
    <mergeCell ref="G57:G58"/>
    <mergeCell ref="E96:F96"/>
    <mergeCell ref="A79:B79"/>
    <mergeCell ref="A82:B82"/>
    <mergeCell ref="A95:B95"/>
    <mergeCell ref="A96:B96"/>
    <mergeCell ref="A80:B80"/>
    <mergeCell ref="A76:B76"/>
    <mergeCell ref="A77:B77"/>
    <mergeCell ref="A56:B58"/>
    <mergeCell ref="C56:C58"/>
    <mergeCell ref="D56:D57"/>
    <mergeCell ref="A60:B60"/>
    <mergeCell ref="A61:B61"/>
    <mergeCell ref="A59:B59"/>
    <mergeCell ref="A62:B62"/>
    <mergeCell ref="A75:B75"/>
    <mergeCell ref="A93:B93"/>
    <mergeCell ref="A94:B94"/>
    <mergeCell ref="H86:I86"/>
    <mergeCell ref="H88:I88"/>
    <mergeCell ref="H90:I90"/>
    <mergeCell ref="H91:I91"/>
    <mergeCell ref="H92:I92"/>
    <mergeCell ref="H94:I94"/>
    <mergeCell ref="E91:F91"/>
    <mergeCell ref="H95:I95"/>
    <mergeCell ref="H96:I96"/>
    <mergeCell ref="C107:I107"/>
    <mergeCell ref="G108:I108"/>
    <mergeCell ref="A101:G101"/>
    <mergeCell ref="A102:G102"/>
    <mergeCell ref="E95:F95"/>
    <mergeCell ref="A103:D103"/>
    <mergeCell ref="A107:B108"/>
    <mergeCell ref="C108:D108"/>
    <mergeCell ref="G109:I109"/>
    <mergeCell ref="G110:I110"/>
    <mergeCell ref="G111:I111"/>
    <mergeCell ref="A84:B84"/>
    <mergeCell ref="A81:B81"/>
    <mergeCell ref="G112:I112"/>
    <mergeCell ref="A88:G88"/>
    <mergeCell ref="A90:B90"/>
    <mergeCell ref="E90:F90"/>
    <mergeCell ref="A92:B92"/>
    <mergeCell ref="G12:I12"/>
    <mergeCell ref="G13:I13"/>
    <mergeCell ref="G14:I14"/>
    <mergeCell ref="G19:I19"/>
    <mergeCell ref="G20:I20"/>
    <mergeCell ref="A100:G100"/>
    <mergeCell ref="A86:G86"/>
    <mergeCell ref="A87:B87"/>
    <mergeCell ref="A99:G99"/>
    <mergeCell ref="H93:I93"/>
    <mergeCell ref="E108:F108"/>
    <mergeCell ref="D127:D129"/>
    <mergeCell ref="A122:B122"/>
    <mergeCell ref="A109:B109"/>
    <mergeCell ref="A110:B110"/>
    <mergeCell ref="A111:B111"/>
    <mergeCell ref="E117:F117"/>
    <mergeCell ref="F128:F129"/>
    <mergeCell ref="C111:D111"/>
    <mergeCell ref="E111:F111"/>
    <mergeCell ref="A140:G140"/>
    <mergeCell ref="A130:B130"/>
    <mergeCell ref="A119:B119"/>
    <mergeCell ref="A120:B120"/>
    <mergeCell ref="A121:B121"/>
    <mergeCell ref="A127:B129"/>
    <mergeCell ref="C127:C129"/>
    <mergeCell ref="E122:F122"/>
    <mergeCell ref="G128:G129"/>
    <mergeCell ref="E128:E129"/>
  </mergeCells>
  <printOptions/>
  <pageMargins left="0.3" right="0.15748031496062992" top="0.93" bottom="0.34" header="0.1968503937007874" footer="0.2362204724409449"/>
  <pageSetup fitToHeight="2" horizontalDpi="600" verticalDpi="600" orientation="portrait" paperSize="9" scale="70" r:id="rId4"/>
  <ignoredErrors>
    <ignoredError sqref="G35" evalError="1"/>
    <ignoredError sqref="F137:G137 H137 H67 F67 F63 H63 H61 H59 D63 F74 H74 F82:G82 H82 F84:G84 H84" formula="1"/>
  </ignoredErrors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X38"/>
  <sheetViews>
    <sheetView showGridLines="0" zoomScaleSheetLayoutView="90" zoomScalePageLayoutView="0" workbookViewId="0" topLeftCell="A28">
      <selection activeCell="W40" sqref="W40"/>
    </sheetView>
  </sheetViews>
  <sheetFormatPr defaultColWidth="7.8515625" defaultRowHeight="15" customHeight="1"/>
  <cols>
    <col min="1" max="1" width="28.421875" style="827" customWidth="1"/>
    <col min="2" max="2" width="14.140625" style="827" customWidth="1"/>
    <col min="3" max="3" width="14.28125" style="827" customWidth="1"/>
    <col min="4" max="4" width="7.421875" style="836" customWidth="1"/>
    <col min="5" max="5" width="7.57421875" style="836" customWidth="1"/>
    <col min="6" max="14" width="7.8515625" style="827" hidden="1" customWidth="1"/>
    <col min="15" max="15" width="6.28125" style="828" customWidth="1"/>
    <col min="16" max="16" width="7.421875" style="827" customWidth="1"/>
    <col min="17" max="19" width="7.8515625" style="827" hidden="1" customWidth="1"/>
    <col min="20" max="20" width="6.421875" style="827" customWidth="1"/>
    <col min="21" max="21" width="6.7109375" style="827" customWidth="1"/>
    <col min="22" max="23" width="7.140625" style="827" customWidth="1"/>
    <col min="24" max="16384" width="7.8515625" style="827" customWidth="1"/>
  </cols>
  <sheetData>
    <row r="1" spans="1:15" s="243" customFormat="1" ht="15" customHeight="1">
      <c r="A1" s="1737" t="s">
        <v>313</v>
      </c>
      <c r="B1" s="1737"/>
      <c r="C1" s="1737"/>
      <c r="D1" s="1737"/>
      <c r="E1" s="1737"/>
      <c r="O1" s="287"/>
    </row>
    <row r="2" spans="1:15" s="243" customFormat="1" ht="15" customHeight="1">
      <c r="A2" s="1737" t="s">
        <v>0</v>
      </c>
      <c r="B2" s="1737"/>
      <c r="C2" s="1737"/>
      <c r="D2" s="1737"/>
      <c r="E2" s="1737"/>
      <c r="O2" s="287"/>
    </row>
    <row r="3" spans="1:23" s="243" customFormat="1" ht="15" customHeight="1">
      <c r="A3" s="242" t="s">
        <v>609</v>
      </c>
      <c r="B3" s="245"/>
      <c r="C3" s="245"/>
      <c r="E3" s="174"/>
      <c r="O3" s="287"/>
      <c r="P3" s="2106" t="str">
        <f>'Anexo 1 _ BAL ORC'!H3</f>
        <v>Publicação: Diário Oficial do Município nº 140</v>
      </c>
      <c r="Q3" s="2106"/>
      <c r="R3" s="2106"/>
      <c r="S3" s="2106"/>
      <c r="T3" s="2106"/>
      <c r="U3" s="2106"/>
      <c r="V3" s="2106"/>
      <c r="W3" s="2106"/>
    </row>
    <row r="4" spans="1:16" s="243" customFormat="1" ht="15" customHeight="1">
      <c r="A4" s="242" t="s">
        <v>2</v>
      </c>
      <c r="B4" s="246"/>
      <c r="C4" s="246"/>
      <c r="E4" s="174"/>
      <c r="O4" s="287"/>
      <c r="P4" s="227" t="str">
        <f>'Anexo 1 _ BAL ORC'!H4</f>
        <v>Data: 30/07/2015</v>
      </c>
    </row>
    <row r="5" spans="1:15" s="231" customFormat="1" ht="15.75" customHeight="1">
      <c r="A5" s="486" t="s">
        <v>947</v>
      </c>
      <c r="B5" s="486"/>
      <c r="C5" s="486"/>
      <c r="D5" s="486"/>
      <c r="E5" s="823"/>
      <c r="O5" s="472"/>
    </row>
    <row r="6" spans="1:5" ht="15" customHeight="1">
      <c r="A6" s="824"/>
      <c r="B6" s="824"/>
      <c r="C6" s="824"/>
      <c r="D6" s="825"/>
      <c r="E6" s="826"/>
    </row>
    <row r="7" spans="1:24" ht="15" customHeight="1">
      <c r="A7" s="829" t="s">
        <v>691</v>
      </c>
      <c r="B7" s="830"/>
      <c r="C7" s="830"/>
      <c r="D7" s="831"/>
      <c r="E7" s="832"/>
      <c r="F7" s="833"/>
      <c r="G7" s="833"/>
      <c r="H7" s="833"/>
      <c r="I7" s="833"/>
      <c r="J7" s="833"/>
      <c r="K7" s="833"/>
      <c r="L7" s="833"/>
      <c r="M7" s="833"/>
      <c r="N7" s="833"/>
      <c r="O7" s="834"/>
      <c r="P7" s="833"/>
      <c r="Q7" s="833"/>
      <c r="R7" s="833"/>
      <c r="S7" s="833"/>
      <c r="T7" s="833"/>
      <c r="U7" s="833"/>
      <c r="V7" s="833"/>
      <c r="W7" s="833"/>
      <c r="X7" s="833"/>
    </row>
    <row r="8" spans="1:24" ht="34.5" customHeight="1">
      <c r="A8" s="2107" t="s">
        <v>184</v>
      </c>
      <c r="B8" s="2108"/>
      <c r="C8" s="2111" t="s">
        <v>610</v>
      </c>
      <c r="D8" s="2112"/>
      <c r="E8" s="2115" t="s">
        <v>917</v>
      </c>
      <c r="F8" s="2115"/>
      <c r="G8" s="2115"/>
      <c r="H8" s="2115"/>
      <c r="I8" s="2115"/>
      <c r="J8" s="2115"/>
      <c r="K8" s="2115"/>
      <c r="L8" s="2115"/>
      <c r="M8" s="2115"/>
      <c r="N8" s="2115"/>
      <c r="O8" s="2115"/>
      <c r="P8" s="2115"/>
      <c r="Q8" s="2115"/>
      <c r="R8" s="2115"/>
      <c r="S8" s="2115"/>
      <c r="T8" s="2115"/>
      <c r="U8" s="2115"/>
      <c r="V8" s="2116" t="s">
        <v>611</v>
      </c>
      <c r="W8" s="2117"/>
      <c r="X8" s="2118"/>
    </row>
    <row r="9" spans="1:24" ht="27.75" customHeight="1">
      <c r="A9" s="2109"/>
      <c r="B9" s="2110"/>
      <c r="C9" s="2113"/>
      <c r="D9" s="2114"/>
      <c r="E9" s="2122" t="s">
        <v>102</v>
      </c>
      <c r="F9" s="2122"/>
      <c r="G9" s="2122"/>
      <c r="H9" s="2122"/>
      <c r="I9" s="2122"/>
      <c r="J9" s="2122"/>
      <c r="K9" s="2122"/>
      <c r="L9" s="2122"/>
      <c r="M9" s="2122"/>
      <c r="N9" s="2122"/>
      <c r="O9" s="2122"/>
      <c r="P9" s="2123" t="s">
        <v>612</v>
      </c>
      <c r="Q9" s="2123"/>
      <c r="R9" s="2123"/>
      <c r="S9" s="2123"/>
      <c r="T9" s="2123"/>
      <c r="U9" s="2123"/>
      <c r="V9" s="2119"/>
      <c r="W9" s="2120"/>
      <c r="X9" s="2121"/>
    </row>
    <row r="10" spans="1:24" ht="15" customHeight="1">
      <c r="A10" s="2124" t="s">
        <v>613</v>
      </c>
      <c r="B10" s="2124"/>
      <c r="C10" s="2125">
        <f>C11+C12+C13</f>
        <v>0</v>
      </c>
      <c r="D10" s="2126"/>
      <c r="E10" s="2125">
        <f>E11+E12+E13</f>
        <v>0</v>
      </c>
      <c r="F10" s="2127"/>
      <c r="G10" s="2127"/>
      <c r="H10" s="2127"/>
      <c r="I10" s="2127"/>
      <c r="J10" s="2127"/>
      <c r="K10" s="2127"/>
      <c r="L10" s="2127"/>
      <c r="M10" s="2127"/>
      <c r="N10" s="2127"/>
      <c r="O10" s="2126"/>
      <c r="P10" s="2128">
        <f>P11+P12+P13</f>
        <v>0</v>
      </c>
      <c r="Q10" s="2129"/>
      <c r="R10" s="2129"/>
      <c r="S10" s="2129"/>
      <c r="T10" s="2129"/>
      <c r="U10" s="2129"/>
      <c r="V10" s="2128">
        <f>V11+V12+V13</f>
        <v>0</v>
      </c>
      <c r="W10" s="2129"/>
      <c r="X10" s="2130"/>
    </row>
    <row r="11" spans="1:24" ht="15" customHeight="1">
      <c r="A11" s="2131" t="s">
        <v>760</v>
      </c>
      <c r="B11" s="2131"/>
      <c r="C11" s="2132"/>
      <c r="D11" s="2133"/>
      <c r="E11" s="2134"/>
      <c r="F11" s="2135"/>
      <c r="G11" s="2135"/>
      <c r="H11" s="2135"/>
      <c r="I11" s="2135"/>
      <c r="J11" s="2135"/>
      <c r="K11" s="2135"/>
      <c r="L11" s="2135"/>
      <c r="M11" s="2135"/>
      <c r="N11" s="2135"/>
      <c r="O11" s="2136"/>
      <c r="P11" s="2137"/>
      <c r="Q11" s="2138"/>
      <c r="R11" s="2138"/>
      <c r="S11" s="2138"/>
      <c r="T11" s="2138"/>
      <c r="U11" s="2138"/>
      <c r="V11" s="2139">
        <f>C11+P11</f>
        <v>0</v>
      </c>
      <c r="W11" s="2140"/>
      <c r="X11" s="2141"/>
    </row>
    <row r="12" spans="1:24" ht="15" customHeight="1">
      <c r="A12" s="2131" t="s">
        <v>614</v>
      </c>
      <c r="B12" s="2131"/>
      <c r="C12" s="2132"/>
      <c r="D12" s="2133"/>
      <c r="E12" s="2134"/>
      <c r="F12" s="2135"/>
      <c r="G12" s="2135"/>
      <c r="H12" s="2135"/>
      <c r="I12" s="2135"/>
      <c r="J12" s="2135"/>
      <c r="K12" s="2135"/>
      <c r="L12" s="2135"/>
      <c r="M12" s="2135"/>
      <c r="N12" s="2135"/>
      <c r="O12" s="2136"/>
      <c r="P12" s="2137"/>
      <c r="Q12" s="2138"/>
      <c r="R12" s="2138"/>
      <c r="S12" s="2138"/>
      <c r="T12" s="2138"/>
      <c r="U12" s="2138"/>
      <c r="V12" s="2139">
        <f>C12+P12</f>
        <v>0</v>
      </c>
      <c r="W12" s="2140"/>
      <c r="X12" s="2141"/>
    </row>
    <row r="13" spans="1:24" ht="15" customHeight="1">
      <c r="A13" s="2142" t="s">
        <v>615</v>
      </c>
      <c r="B13" s="2142"/>
      <c r="C13" s="2143"/>
      <c r="D13" s="2110"/>
      <c r="E13" s="2144"/>
      <c r="F13" s="2145"/>
      <c r="G13" s="2145"/>
      <c r="H13" s="2145"/>
      <c r="I13" s="2145"/>
      <c r="J13" s="2145"/>
      <c r="K13" s="2145"/>
      <c r="L13" s="2145"/>
      <c r="M13" s="2145"/>
      <c r="N13" s="2145"/>
      <c r="O13" s="2146"/>
      <c r="P13" s="2147"/>
      <c r="Q13" s="2148"/>
      <c r="R13" s="2148"/>
      <c r="S13" s="2148"/>
      <c r="T13" s="2148"/>
      <c r="U13" s="2148"/>
      <c r="V13" s="2149">
        <f>C13+P13</f>
        <v>0</v>
      </c>
      <c r="W13" s="2150"/>
      <c r="X13" s="2151"/>
    </row>
    <row r="14" spans="1:24" ht="15" customHeight="1">
      <c r="A14" s="2124" t="s">
        <v>616</v>
      </c>
      <c r="B14" s="2124"/>
      <c r="C14" s="2125">
        <f>C15+C16+C17</f>
        <v>0</v>
      </c>
      <c r="D14" s="2126"/>
      <c r="E14" s="2125">
        <f>E15+E16+E17</f>
        <v>0</v>
      </c>
      <c r="F14" s="2127"/>
      <c r="G14" s="2127"/>
      <c r="H14" s="2127"/>
      <c r="I14" s="2127"/>
      <c r="J14" s="2127"/>
      <c r="K14" s="2127"/>
      <c r="L14" s="2127"/>
      <c r="M14" s="2127"/>
      <c r="N14" s="2127"/>
      <c r="O14" s="2126"/>
      <c r="P14" s="2128">
        <f>P15+P16+P17</f>
        <v>0</v>
      </c>
      <c r="Q14" s="2129"/>
      <c r="R14" s="2129"/>
      <c r="S14" s="2129"/>
      <c r="T14" s="2129"/>
      <c r="U14" s="2130"/>
      <c r="V14" s="2139">
        <f>V15+V16+V17</f>
        <v>0</v>
      </c>
      <c r="W14" s="2140"/>
      <c r="X14" s="2141"/>
    </row>
    <row r="15" spans="1:24" ht="15" customHeight="1">
      <c r="A15" s="2131" t="s">
        <v>617</v>
      </c>
      <c r="B15" s="2131"/>
      <c r="C15" s="2152"/>
      <c r="D15" s="2153"/>
      <c r="E15" s="2152"/>
      <c r="F15" s="2154"/>
      <c r="G15" s="2154"/>
      <c r="H15" s="2154"/>
      <c r="I15" s="2154"/>
      <c r="J15" s="2154"/>
      <c r="K15" s="2154"/>
      <c r="L15" s="2154"/>
      <c r="M15" s="2154"/>
      <c r="N15" s="2154"/>
      <c r="O15" s="2153"/>
      <c r="P15" s="2139"/>
      <c r="Q15" s="2140"/>
      <c r="R15" s="2140"/>
      <c r="S15" s="2140"/>
      <c r="T15" s="2140"/>
      <c r="U15" s="2141"/>
      <c r="V15" s="2139">
        <f>C15+P15</f>
        <v>0</v>
      </c>
      <c r="W15" s="2140"/>
      <c r="X15" s="2141"/>
    </row>
    <row r="16" spans="1:24" ht="15" customHeight="1">
      <c r="A16" s="835" t="s">
        <v>618</v>
      </c>
      <c r="B16" s="837"/>
      <c r="C16" s="2152"/>
      <c r="D16" s="2153"/>
      <c r="E16" s="2152"/>
      <c r="F16" s="2154"/>
      <c r="G16" s="2154"/>
      <c r="H16" s="2154"/>
      <c r="I16" s="2154"/>
      <c r="J16" s="2154"/>
      <c r="K16" s="2154"/>
      <c r="L16" s="2154"/>
      <c r="M16" s="2154"/>
      <c r="N16" s="2154"/>
      <c r="O16" s="2153"/>
      <c r="P16" s="2139"/>
      <c r="Q16" s="2140"/>
      <c r="R16" s="2140"/>
      <c r="S16" s="2140"/>
      <c r="T16" s="2140"/>
      <c r="U16" s="2141"/>
      <c r="V16" s="2139">
        <f>C16+P16</f>
        <v>0</v>
      </c>
      <c r="W16" s="2140"/>
      <c r="X16" s="2141"/>
    </row>
    <row r="17" spans="1:24" ht="15" customHeight="1">
      <c r="A17" s="2142" t="s">
        <v>619</v>
      </c>
      <c r="B17" s="2142"/>
      <c r="C17" s="2155"/>
      <c r="D17" s="2156"/>
      <c r="E17" s="2155"/>
      <c r="F17" s="2157"/>
      <c r="G17" s="2157"/>
      <c r="H17" s="2157"/>
      <c r="I17" s="2157"/>
      <c r="J17" s="2157"/>
      <c r="K17" s="2157"/>
      <c r="L17" s="2157"/>
      <c r="M17" s="2157"/>
      <c r="N17" s="2157"/>
      <c r="O17" s="2156"/>
      <c r="P17" s="2149"/>
      <c r="Q17" s="2150"/>
      <c r="R17" s="2150"/>
      <c r="S17" s="2150"/>
      <c r="T17" s="2150"/>
      <c r="U17" s="2151"/>
      <c r="V17" s="2139">
        <f>C17+P17</f>
        <v>0</v>
      </c>
      <c r="W17" s="2140"/>
      <c r="X17" s="2141"/>
    </row>
    <row r="18" spans="1:24" ht="27.75" customHeight="1">
      <c r="A18" s="838" t="s">
        <v>620</v>
      </c>
      <c r="B18" s="839"/>
      <c r="C18" s="2158"/>
      <c r="D18" s="2159"/>
      <c r="E18" s="2160"/>
      <c r="F18" s="2161"/>
      <c r="G18" s="2161"/>
      <c r="H18" s="2161"/>
      <c r="I18" s="2161"/>
      <c r="J18" s="2161"/>
      <c r="K18" s="2161"/>
      <c r="L18" s="2161"/>
      <c r="M18" s="2161"/>
      <c r="N18" s="2161"/>
      <c r="O18" s="2162"/>
      <c r="P18" s="2163"/>
      <c r="Q18" s="2164"/>
      <c r="R18" s="2164"/>
      <c r="S18" s="2164"/>
      <c r="T18" s="2164"/>
      <c r="U18" s="2165"/>
      <c r="V18" s="2166"/>
      <c r="W18" s="2167"/>
      <c r="X18" s="2168"/>
    </row>
    <row r="19" spans="1:24" ht="29.25" customHeight="1">
      <c r="A19" s="838" t="s">
        <v>621</v>
      </c>
      <c r="B19" s="839"/>
      <c r="C19" s="2169">
        <f>C14-C18</f>
        <v>0</v>
      </c>
      <c r="D19" s="2159"/>
      <c r="E19" s="2170">
        <f>E14-E18</f>
        <v>0</v>
      </c>
      <c r="F19" s="2171"/>
      <c r="G19" s="2171"/>
      <c r="H19" s="2171"/>
      <c r="I19" s="2171"/>
      <c r="J19" s="2171"/>
      <c r="K19" s="2171"/>
      <c r="L19" s="2171"/>
      <c r="M19" s="2171"/>
      <c r="N19" s="2171"/>
      <c r="O19" s="2172"/>
      <c r="P19" s="2173">
        <f>P14-P18</f>
        <v>0</v>
      </c>
      <c r="Q19" s="2164"/>
      <c r="R19" s="2164"/>
      <c r="S19" s="2164"/>
      <c r="T19" s="2164"/>
      <c r="U19" s="2165"/>
      <c r="V19" s="2173">
        <f>V14-V18</f>
        <v>0</v>
      </c>
      <c r="W19" s="2164"/>
      <c r="X19" s="2165"/>
    </row>
    <row r="20" spans="1:24" ht="19.5" customHeight="1">
      <c r="A20" s="835" t="s">
        <v>622</v>
      </c>
      <c r="B20" s="837"/>
      <c r="C20" s="2125">
        <f>C21+C22+C23</f>
        <v>0</v>
      </c>
      <c r="D20" s="2126"/>
      <c r="E20" s="2125">
        <f>E21+E22+E23</f>
        <v>0</v>
      </c>
      <c r="F20" s="2127"/>
      <c r="G20" s="2127"/>
      <c r="H20" s="2127"/>
      <c r="I20" s="2127"/>
      <c r="J20" s="2127"/>
      <c r="K20" s="2127"/>
      <c r="L20" s="2127"/>
      <c r="M20" s="2127"/>
      <c r="N20" s="2127"/>
      <c r="O20" s="2126"/>
      <c r="P20" s="2128">
        <f>P21+P22+P23</f>
        <v>0</v>
      </c>
      <c r="Q20" s="2129"/>
      <c r="R20" s="2129"/>
      <c r="S20" s="2129"/>
      <c r="T20" s="2129"/>
      <c r="U20" s="2130"/>
      <c r="V20" s="2128">
        <f>V21+V22+V23</f>
        <v>0</v>
      </c>
      <c r="W20" s="2129"/>
      <c r="X20" s="2130"/>
    </row>
    <row r="21" spans="1:24" ht="15" customHeight="1">
      <c r="A21" s="835" t="s">
        <v>623</v>
      </c>
      <c r="B21" s="837"/>
      <c r="C21" s="2152"/>
      <c r="D21" s="2153"/>
      <c r="E21" s="2152"/>
      <c r="F21" s="2154"/>
      <c r="G21" s="2154"/>
      <c r="H21" s="2154"/>
      <c r="I21" s="2154"/>
      <c r="J21" s="2154"/>
      <c r="K21" s="2154"/>
      <c r="L21" s="2154"/>
      <c r="M21" s="2154"/>
      <c r="N21" s="2154"/>
      <c r="O21" s="2153"/>
      <c r="P21" s="2139"/>
      <c r="Q21" s="2140"/>
      <c r="R21" s="2140"/>
      <c r="S21" s="2140"/>
      <c r="T21" s="2140"/>
      <c r="U21" s="2141"/>
      <c r="V21" s="2139">
        <f>C21+P21</f>
        <v>0</v>
      </c>
      <c r="W21" s="2140"/>
      <c r="X21" s="2141"/>
    </row>
    <row r="22" spans="1:24" ht="15" customHeight="1">
      <c r="A22" s="835" t="s">
        <v>624</v>
      </c>
      <c r="B22" s="837"/>
      <c r="C22" s="2152"/>
      <c r="D22" s="2153"/>
      <c r="E22" s="2152"/>
      <c r="F22" s="2154"/>
      <c r="G22" s="2154"/>
      <c r="H22" s="2154"/>
      <c r="I22" s="2154"/>
      <c r="J22" s="2154"/>
      <c r="K22" s="2154"/>
      <c r="L22" s="2154"/>
      <c r="M22" s="2154"/>
      <c r="N22" s="2154"/>
      <c r="O22" s="2153"/>
      <c r="P22" s="2139"/>
      <c r="Q22" s="2140"/>
      <c r="R22" s="2140"/>
      <c r="S22" s="2140"/>
      <c r="T22" s="2140"/>
      <c r="U22" s="2141"/>
      <c r="V22" s="2139">
        <f>C22+P22</f>
        <v>0</v>
      </c>
      <c r="W22" s="2140"/>
      <c r="X22" s="2141"/>
    </row>
    <row r="23" spans="1:24" ht="15" customHeight="1">
      <c r="A23" s="829" t="s">
        <v>625</v>
      </c>
      <c r="B23" s="830"/>
      <c r="C23" s="2155"/>
      <c r="D23" s="2156"/>
      <c r="E23" s="2155"/>
      <c r="F23" s="2157"/>
      <c r="G23" s="2157"/>
      <c r="H23" s="2157"/>
      <c r="I23" s="2157"/>
      <c r="J23" s="2157"/>
      <c r="K23" s="2157"/>
      <c r="L23" s="2157"/>
      <c r="M23" s="2157"/>
      <c r="N23" s="2157"/>
      <c r="O23" s="2156"/>
      <c r="P23" s="2149"/>
      <c r="Q23" s="2150"/>
      <c r="R23" s="2150"/>
      <c r="S23" s="2150"/>
      <c r="T23" s="2150"/>
      <c r="U23" s="2151"/>
      <c r="V23" s="2139">
        <f>C23+P23</f>
        <v>0</v>
      </c>
      <c r="W23" s="2140"/>
      <c r="X23" s="2141"/>
    </row>
    <row r="24" spans="1:24" ht="15" customHeight="1">
      <c r="A24" s="843" t="s">
        <v>626</v>
      </c>
      <c r="B24" s="844"/>
      <c r="C24" s="2125">
        <f>C25+C26</f>
        <v>0</v>
      </c>
      <c r="D24" s="2126"/>
      <c r="E24" s="2125">
        <f>E25+E26</f>
        <v>0</v>
      </c>
      <c r="F24" s="2127"/>
      <c r="G24" s="2127"/>
      <c r="H24" s="2127"/>
      <c r="I24" s="2127"/>
      <c r="J24" s="2127"/>
      <c r="K24" s="2127"/>
      <c r="L24" s="2127"/>
      <c r="M24" s="2127"/>
      <c r="N24" s="2127"/>
      <c r="O24" s="2126"/>
      <c r="P24" s="2128">
        <f>P25+P26</f>
        <v>0</v>
      </c>
      <c r="Q24" s="2129"/>
      <c r="R24" s="2129"/>
      <c r="S24" s="2129"/>
      <c r="T24" s="2129"/>
      <c r="U24" s="2130"/>
      <c r="V24" s="2128">
        <f>V25+V26</f>
        <v>0</v>
      </c>
      <c r="W24" s="2129"/>
      <c r="X24" s="2130"/>
    </row>
    <row r="25" spans="1:24" ht="15" customHeight="1">
      <c r="A25" s="843" t="s">
        <v>627</v>
      </c>
      <c r="B25" s="844"/>
      <c r="C25" s="2152"/>
      <c r="D25" s="2153"/>
      <c r="E25" s="2152"/>
      <c r="F25" s="2154"/>
      <c r="G25" s="2154"/>
      <c r="H25" s="2154"/>
      <c r="I25" s="2154"/>
      <c r="J25" s="2154"/>
      <c r="K25" s="2154"/>
      <c r="L25" s="2154"/>
      <c r="M25" s="2154"/>
      <c r="N25" s="2154"/>
      <c r="O25" s="2153"/>
      <c r="P25" s="2139"/>
      <c r="Q25" s="2140"/>
      <c r="R25" s="2140"/>
      <c r="S25" s="2140"/>
      <c r="T25" s="2140"/>
      <c r="U25" s="2141"/>
      <c r="V25" s="2139"/>
      <c r="W25" s="2140"/>
      <c r="X25" s="2141"/>
    </row>
    <row r="26" spans="1:24" ht="15" customHeight="1">
      <c r="A26" s="2142" t="s">
        <v>628</v>
      </c>
      <c r="B26" s="2142"/>
      <c r="C26" s="2155"/>
      <c r="D26" s="2156"/>
      <c r="E26" s="2155"/>
      <c r="F26" s="2157"/>
      <c r="G26" s="2157"/>
      <c r="H26" s="2157"/>
      <c r="I26" s="2157"/>
      <c r="J26" s="2157"/>
      <c r="K26" s="2157"/>
      <c r="L26" s="2157"/>
      <c r="M26" s="2157"/>
      <c r="N26" s="2157"/>
      <c r="O26" s="2156"/>
      <c r="P26" s="2149"/>
      <c r="Q26" s="2150"/>
      <c r="R26" s="2150"/>
      <c r="S26" s="2150"/>
      <c r="T26" s="2150"/>
      <c r="U26" s="2151"/>
      <c r="V26" s="2149"/>
      <c r="W26" s="2150"/>
      <c r="X26" s="2151"/>
    </row>
    <row r="27" spans="1:24" ht="15" customHeight="1">
      <c r="A27" s="2174"/>
      <c r="B27" s="2174"/>
      <c r="C27" s="845"/>
      <c r="D27" s="845"/>
      <c r="E27" s="846"/>
      <c r="V27" s="836"/>
      <c r="W27" s="836"/>
      <c r="X27" s="847"/>
    </row>
    <row r="28" spans="1:24" ht="15" customHeight="1">
      <c r="A28" s="2175" t="s">
        <v>629</v>
      </c>
      <c r="B28" s="2176" t="s">
        <v>550</v>
      </c>
      <c r="C28" s="2178" t="s">
        <v>630</v>
      </c>
      <c r="D28" s="2180" t="s">
        <v>631</v>
      </c>
      <c r="E28" s="2180" t="s">
        <v>632</v>
      </c>
      <c r="F28" s="848"/>
      <c r="G28" s="849"/>
      <c r="H28" s="849"/>
      <c r="I28" s="849"/>
      <c r="J28" s="849"/>
      <c r="K28" s="849"/>
      <c r="L28" s="849"/>
      <c r="M28" s="849"/>
      <c r="N28" s="849"/>
      <c r="O28" s="2180" t="s">
        <v>633</v>
      </c>
      <c r="P28" s="2180" t="s">
        <v>634</v>
      </c>
      <c r="Q28" s="849"/>
      <c r="R28" s="849"/>
      <c r="S28" s="849"/>
      <c r="T28" s="2180" t="s">
        <v>635</v>
      </c>
      <c r="U28" s="2180" t="s">
        <v>636</v>
      </c>
      <c r="V28" s="2180" t="s">
        <v>637</v>
      </c>
      <c r="W28" s="2180" t="s">
        <v>638</v>
      </c>
      <c r="X28" s="2180" t="s">
        <v>639</v>
      </c>
    </row>
    <row r="29" spans="1:24" ht="24" customHeight="1">
      <c r="A29" s="2175"/>
      <c r="B29" s="2177"/>
      <c r="C29" s="2179"/>
      <c r="D29" s="2181"/>
      <c r="E29" s="2181"/>
      <c r="F29" s="848"/>
      <c r="G29" s="849"/>
      <c r="H29" s="849"/>
      <c r="I29" s="849"/>
      <c r="J29" s="849"/>
      <c r="K29" s="849"/>
      <c r="L29" s="849"/>
      <c r="M29" s="849"/>
      <c r="N29" s="849"/>
      <c r="O29" s="2181"/>
      <c r="P29" s="2181"/>
      <c r="Q29" s="849"/>
      <c r="R29" s="849"/>
      <c r="S29" s="849"/>
      <c r="T29" s="2181"/>
      <c r="U29" s="2181"/>
      <c r="V29" s="2181"/>
      <c r="W29" s="2181"/>
      <c r="X29" s="2181"/>
    </row>
    <row r="30" spans="1:24" ht="32.25" customHeight="1">
      <c r="A30" s="850" t="s">
        <v>640</v>
      </c>
      <c r="B30" s="851"/>
      <c r="C30" s="851"/>
      <c r="D30" s="851"/>
      <c r="E30" s="852"/>
      <c r="F30" s="853"/>
      <c r="G30" s="833"/>
      <c r="H30" s="833"/>
      <c r="I30" s="833"/>
      <c r="J30" s="833"/>
      <c r="K30" s="833"/>
      <c r="L30" s="833"/>
      <c r="M30" s="833"/>
      <c r="N30" s="833"/>
      <c r="O30" s="834"/>
      <c r="P30" s="854"/>
      <c r="Q30" s="833"/>
      <c r="R30" s="833"/>
      <c r="S30" s="833"/>
      <c r="T30" s="833"/>
      <c r="U30" s="855"/>
      <c r="V30" s="854"/>
      <c r="W30" s="855"/>
      <c r="X30" s="854"/>
    </row>
    <row r="31" spans="1:24" ht="27.75" customHeight="1">
      <c r="A31" s="856" t="s">
        <v>641</v>
      </c>
      <c r="B31" s="857"/>
      <c r="C31" s="857"/>
      <c r="D31" s="857"/>
      <c r="E31" s="858"/>
      <c r="F31" s="842"/>
      <c r="G31" s="841"/>
      <c r="H31" s="841"/>
      <c r="I31" s="841"/>
      <c r="J31" s="841"/>
      <c r="K31" s="841"/>
      <c r="L31" s="841"/>
      <c r="M31" s="841"/>
      <c r="N31" s="841"/>
      <c r="O31" s="859"/>
      <c r="P31" s="860"/>
      <c r="Q31" s="841"/>
      <c r="R31" s="841"/>
      <c r="S31" s="841"/>
      <c r="T31" s="841"/>
      <c r="U31" s="840"/>
      <c r="V31" s="860"/>
      <c r="W31" s="840"/>
      <c r="X31" s="860"/>
    </row>
    <row r="32" spans="1:24" ht="29.25" customHeight="1">
      <c r="A32" s="861" t="s">
        <v>642</v>
      </c>
      <c r="B32" s="857"/>
      <c r="C32" s="857"/>
      <c r="D32" s="857"/>
      <c r="E32" s="858"/>
      <c r="F32" s="842"/>
      <c r="G32" s="841"/>
      <c r="H32" s="841"/>
      <c r="I32" s="841"/>
      <c r="J32" s="841"/>
      <c r="K32" s="841"/>
      <c r="L32" s="841"/>
      <c r="M32" s="841"/>
      <c r="N32" s="841"/>
      <c r="O32" s="859"/>
      <c r="P32" s="860"/>
      <c r="Q32" s="841"/>
      <c r="R32" s="841"/>
      <c r="S32" s="841"/>
      <c r="T32" s="862"/>
      <c r="U32" s="840"/>
      <c r="V32" s="860"/>
      <c r="W32" s="840"/>
      <c r="X32" s="860"/>
    </row>
    <row r="33" spans="1:24" ht="28.5" customHeight="1">
      <c r="A33" s="863" t="s">
        <v>643</v>
      </c>
      <c r="B33" s="864">
        <v>2071015982.26</v>
      </c>
      <c r="C33" s="864">
        <f>'Anexo 3 _ RCL'!P35</f>
        <v>2165762835.03</v>
      </c>
      <c r="D33" s="865"/>
      <c r="E33" s="866"/>
      <c r="F33" s="842"/>
      <c r="G33" s="841"/>
      <c r="H33" s="841"/>
      <c r="I33" s="841"/>
      <c r="J33" s="841"/>
      <c r="K33" s="841"/>
      <c r="L33" s="841"/>
      <c r="M33" s="841"/>
      <c r="N33" s="841"/>
      <c r="O33" s="859"/>
      <c r="P33" s="860"/>
      <c r="Q33" s="841"/>
      <c r="R33" s="841"/>
      <c r="S33" s="841"/>
      <c r="T33" s="841"/>
      <c r="U33" s="840"/>
      <c r="V33" s="860"/>
      <c r="W33" s="840"/>
      <c r="X33" s="860"/>
    </row>
    <row r="34" spans="1:24" ht="27" customHeight="1">
      <c r="A34" s="867" t="s">
        <v>644</v>
      </c>
      <c r="B34" s="868"/>
      <c r="C34" s="868"/>
      <c r="D34" s="869"/>
      <c r="E34" s="870"/>
      <c r="F34" s="842"/>
      <c r="G34" s="841"/>
      <c r="H34" s="841"/>
      <c r="I34" s="841"/>
      <c r="J34" s="841"/>
      <c r="K34" s="841"/>
      <c r="L34" s="841"/>
      <c r="M34" s="841"/>
      <c r="N34" s="841"/>
      <c r="O34" s="859"/>
      <c r="P34" s="860"/>
      <c r="Q34" s="841"/>
      <c r="R34" s="841"/>
      <c r="S34" s="841"/>
      <c r="T34" s="841"/>
      <c r="U34" s="840"/>
      <c r="V34" s="860"/>
      <c r="W34" s="840"/>
      <c r="X34" s="860"/>
    </row>
    <row r="35" spans="1:15" s="243" customFormat="1" ht="15" customHeight="1">
      <c r="A35" s="174" t="str">
        <f>'[16]Anexo VI _ RES NOM'!A44</f>
        <v>FONTE: SECRETARIA MUNICIPAL DA FAZENDA</v>
      </c>
      <c r="B35" s="285"/>
      <c r="C35" s="285"/>
      <c r="D35" s="686"/>
      <c r="E35" s="686"/>
      <c r="O35" s="287"/>
    </row>
    <row r="36" spans="1:23" s="243" customFormat="1" ht="15" customHeight="1">
      <c r="A36" s="174" t="str">
        <f>'Anexo 8 _ ENSINO'!A194</f>
        <v>  São Luís, 30 de Julho de 2015</v>
      </c>
      <c r="B36" s="285"/>
      <c r="C36" s="285"/>
      <c r="D36" s="686"/>
      <c r="E36" s="686"/>
      <c r="O36" s="287"/>
      <c r="W36" s="536"/>
    </row>
    <row r="37" spans="1:15" s="243" customFormat="1" ht="15" customHeight="1">
      <c r="A37" s="286"/>
      <c r="B37" s="167"/>
      <c r="C37" s="158"/>
      <c r="D37" s="158"/>
      <c r="E37" s="871"/>
      <c r="O37" s="287"/>
    </row>
    <row r="38" spans="1:5" s="287" customFormat="1" ht="12.75" customHeight="1">
      <c r="A38" s="223"/>
      <c r="B38" s="112"/>
      <c r="C38" s="112"/>
      <c r="D38" s="112"/>
      <c r="E38" s="223"/>
    </row>
  </sheetData>
  <sheetProtection/>
  <mergeCells count="98">
    <mergeCell ref="P28:P29"/>
    <mergeCell ref="T28:T29"/>
    <mergeCell ref="U28:U29"/>
    <mergeCell ref="V28:V29"/>
    <mergeCell ref="W28:W29"/>
    <mergeCell ref="X28:X29"/>
    <mergeCell ref="A28:A29"/>
    <mergeCell ref="B28:B29"/>
    <mergeCell ref="C28:C29"/>
    <mergeCell ref="D28:D29"/>
    <mergeCell ref="E28:E29"/>
    <mergeCell ref="O28:O29"/>
    <mergeCell ref="A26:B26"/>
    <mergeCell ref="C26:D26"/>
    <mergeCell ref="E26:O26"/>
    <mergeCell ref="P26:U26"/>
    <mergeCell ref="V26:X26"/>
    <mergeCell ref="A27:B27"/>
    <mergeCell ref="C24:D24"/>
    <mergeCell ref="E24:O24"/>
    <mergeCell ref="P24:U24"/>
    <mergeCell ref="V24:X24"/>
    <mergeCell ref="C25:D25"/>
    <mergeCell ref="E25:O25"/>
    <mergeCell ref="P25:U25"/>
    <mergeCell ref="V25:X25"/>
    <mergeCell ref="C22:D22"/>
    <mergeCell ref="E22:O22"/>
    <mergeCell ref="P22:U22"/>
    <mergeCell ref="V22:X22"/>
    <mergeCell ref="C23:D23"/>
    <mergeCell ref="E23:O23"/>
    <mergeCell ref="P23:U23"/>
    <mergeCell ref="V23:X23"/>
    <mergeCell ref="C20:D20"/>
    <mergeCell ref="E20:O20"/>
    <mergeCell ref="P20:U20"/>
    <mergeCell ref="V20:X20"/>
    <mergeCell ref="C21:D21"/>
    <mergeCell ref="E21:O21"/>
    <mergeCell ref="P21:U21"/>
    <mergeCell ref="V21:X21"/>
    <mergeCell ref="C18:D18"/>
    <mergeCell ref="E18:O18"/>
    <mergeCell ref="P18:U18"/>
    <mergeCell ref="V18:X18"/>
    <mergeCell ref="C19:D19"/>
    <mergeCell ref="E19:O19"/>
    <mergeCell ref="P19:U19"/>
    <mergeCell ref="V19:X19"/>
    <mergeCell ref="C16:D16"/>
    <mergeCell ref="E16:O16"/>
    <mergeCell ref="P16:U16"/>
    <mergeCell ref="V16:X16"/>
    <mergeCell ref="A17:B17"/>
    <mergeCell ref="C17:D17"/>
    <mergeCell ref="E17:O17"/>
    <mergeCell ref="P17:U17"/>
    <mergeCell ref="V17:X17"/>
    <mergeCell ref="A14:B14"/>
    <mergeCell ref="C14:D14"/>
    <mergeCell ref="E14:O14"/>
    <mergeCell ref="P14:U14"/>
    <mergeCell ref="V14:X14"/>
    <mergeCell ref="A15:B15"/>
    <mergeCell ref="C15:D15"/>
    <mergeCell ref="E15:O15"/>
    <mergeCell ref="P15:U15"/>
    <mergeCell ref="V15:X15"/>
    <mergeCell ref="A12:B12"/>
    <mergeCell ref="C12:D12"/>
    <mergeCell ref="E12:O12"/>
    <mergeCell ref="P12:U12"/>
    <mergeCell ref="V12:X12"/>
    <mergeCell ref="A13:B13"/>
    <mergeCell ref="C13:D13"/>
    <mergeCell ref="E13:O13"/>
    <mergeCell ref="P13:U13"/>
    <mergeCell ref="V13:X13"/>
    <mergeCell ref="A10:B10"/>
    <mergeCell ref="C10:D10"/>
    <mergeCell ref="E10:O10"/>
    <mergeCell ref="P10:U10"/>
    <mergeCell ref="V10:X10"/>
    <mergeCell ref="A11:B11"/>
    <mergeCell ref="C11:D11"/>
    <mergeCell ref="E11:O11"/>
    <mergeCell ref="P11:U11"/>
    <mergeCell ref="V11:X11"/>
    <mergeCell ref="A1:E1"/>
    <mergeCell ref="A2:E2"/>
    <mergeCell ref="P3:W3"/>
    <mergeCell ref="A8:B9"/>
    <mergeCell ref="C8:D9"/>
    <mergeCell ref="E8:U8"/>
    <mergeCell ref="V8:X9"/>
    <mergeCell ref="E9:O9"/>
    <mergeCell ref="P9:U9"/>
  </mergeCells>
  <printOptions horizontalCentered="1"/>
  <pageMargins left="0.15748031496062992" right="0.15748031496062992" top="0.5905511811023623" bottom="0.3937007874015748" header="0.5118110236220472" footer="0.1968503937007874"/>
  <pageSetup horizontalDpi="600" verticalDpi="600" orientation="portrait" paperSize="9" scale="80" r:id="rId2"/>
  <headerFooter alignWithMargins="0">
    <oddFooter>&amp;C&amp;A</oddFooter>
  </headerFooter>
  <ignoredErrors>
    <ignoredError sqref="V14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3"/>
  <sheetViews>
    <sheetView showGridLines="0" zoomScale="87" zoomScaleNormal="87" zoomScaleSheetLayoutView="90" zoomScalePageLayoutView="0" workbookViewId="0" topLeftCell="A1">
      <selection activeCell="B63" sqref="B63"/>
    </sheetView>
  </sheetViews>
  <sheetFormatPr defaultColWidth="0.9921875" defaultRowHeight="15" customHeight="1"/>
  <cols>
    <col min="1" max="1" width="73.57421875" style="111" customWidth="1"/>
    <col min="2" max="2" width="17.7109375" style="111" customWidth="1"/>
    <col min="3" max="3" width="15.421875" style="322" customWidth="1"/>
    <col min="4" max="4" width="15.8515625" style="111" customWidth="1"/>
    <col min="5" max="5" width="17.00390625" style="111" customWidth="1"/>
    <col min="6" max="62" width="15.7109375" style="111" customWidth="1"/>
    <col min="63" max="16384" width="0.9921875" style="111" customWidth="1"/>
  </cols>
  <sheetData>
    <row r="1" spans="1:6" ht="15" customHeight="1">
      <c r="A1" s="2207" t="s">
        <v>466</v>
      </c>
      <c r="B1" s="2207"/>
      <c r="C1" s="2207"/>
      <c r="D1" s="2207"/>
      <c r="E1" s="2207"/>
      <c r="F1" s="323"/>
    </row>
    <row r="2" spans="1:6" ht="15" customHeight="1">
      <c r="A2" s="2208" t="s">
        <v>467</v>
      </c>
      <c r="B2" s="2208"/>
      <c r="C2" s="2208"/>
      <c r="D2" s="2208"/>
      <c r="E2" s="2208"/>
      <c r="F2" s="324"/>
    </row>
    <row r="3" spans="1:6" ht="15" customHeight="1">
      <c r="A3" s="2207" t="s">
        <v>2</v>
      </c>
      <c r="B3" s="2207"/>
      <c r="C3" s="2207"/>
      <c r="D3" s="2207"/>
      <c r="E3" s="2207"/>
      <c r="F3" s="323"/>
    </row>
    <row r="4" spans="1:11" s="231" customFormat="1" ht="15.75" customHeight="1">
      <c r="A4" s="1783" t="str">
        <f>'Anexo 1 _ BAL ORC'!A4:F4</f>
        <v>Referência: JANEIRO-JUNHO/2015; BIMESTRE: MAIO-JUNHO/2015</v>
      </c>
      <c r="B4" s="1783"/>
      <c r="C4" s="2206" t="str">
        <f>'Anexo 1 _ BAL ORC'!H3</f>
        <v>Publicação: Diário Oficial do Município nº 140</v>
      </c>
      <c r="D4" s="2206"/>
      <c r="E4" s="2206"/>
      <c r="F4" s="228"/>
      <c r="G4" s="228"/>
      <c r="H4" s="228"/>
      <c r="I4" s="228"/>
      <c r="J4" s="229"/>
      <c r="K4" s="230"/>
    </row>
    <row r="5" spans="1:11" s="231" customFormat="1" ht="12.75">
      <c r="A5" s="171"/>
      <c r="B5" s="171"/>
      <c r="C5" s="2206" t="str">
        <f>'Anexo 1 _ BAL ORC'!H4</f>
        <v>Data: 30/07/2015</v>
      </c>
      <c r="D5" s="2206"/>
      <c r="E5" s="2206"/>
      <c r="F5" s="228"/>
      <c r="G5" s="228"/>
      <c r="H5" s="228"/>
      <c r="I5" s="228"/>
      <c r="J5" s="229"/>
      <c r="K5" s="230"/>
    </row>
    <row r="6" spans="1:5" ht="15" customHeight="1">
      <c r="A6" s="111" t="s">
        <v>690</v>
      </c>
      <c r="B6" s="325"/>
      <c r="E6" s="326" t="s">
        <v>538</v>
      </c>
    </row>
    <row r="7" spans="1:5" ht="21" customHeight="1">
      <c r="A7" s="982" t="s">
        <v>468</v>
      </c>
      <c r="B7" s="2203" t="s">
        <v>103</v>
      </c>
      <c r="C7" s="2204"/>
      <c r="D7" s="2204"/>
      <c r="E7" s="2205"/>
    </row>
    <row r="8" spans="1:5" ht="21" customHeight="1">
      <c r="A8" s="891" t="s">
        <v>3</v>
      </c>
      <c r="B8" s="1250"/>
      <c r="C8" s="1249"/>
      <c r="D8" s="1249"/>
      <c r="E8" s="892"/>
    </row>
    <row r="9" spans="1:5" ht="21" customHeight="1">
      <c r="A9" s="286" t="s">
        <v>769</v>
      </c>
      <c r="B9" s="2188">
        <f>'Anexo 1 _ BAL ORC'!B59</f>
        <v>2701778599</v>
      </c>
      <c r="C9" s="2189"/>
      <c r="D9" s="2189"/>
      <c r="E9" s="2190"/>
    </row>
    <row r="10" spans="1:5" ht="21" customHeight="1">
      <c r="A10" s="286" t="s">
        <v>770</v>
      </c>
      <c r="B10" s="2188">
        <f>'Anexo 1 _ BAL ORC'!C59+'Anexo 1 _ BAL ORC'!C60</f>
        <v>2729241275</v>
      </c>
      <c r="C10" s="2189"/>
      <c r="D10" s="2189"/>
      <c r="E10" s="2190"/>
    </row>
    <row r="11" spans="1:5" ht="21" customHeight="1">
      <c r="A11" s="286" t="s">
        <v>761</v>
      </c>
      <c r="B11" s="2188">
        <f>'Anexo 1 _ BAL ORC'!G49</f>
        <v>1223182072.89</v>
      </c>
      <c r="C11" s="2189"/>
      <c r="D11" s="2189"/>
      <c r="E11" s="2190"/>
    </row>
    <row r="12" spans="1:5" ht="21" customHeight="1">
      <c r="A12" s="286" t="s">
        <v>762</v>
      </c>
      <c r="B12" s="2188">
        <f>'Anexo 1 _ BAL ORC'!G58</f>
        <v>0</v>
      </c>
      <c r="C12" s="2189"/>
      <c r="D12" s="2189"/>
      <c r="E12" s="2190"/>
    </row>
    <row r="13" spans="1:5" ht="21" customHeight="1">
      <c r="A13" s="327" t="s">
        <v>771</v>
      </c>
      <c r="B13" s="2188">
        <f>'Anexo 1 _ BAL ORC'!C60</f>
        <v>3337705.8699998856</v>
      </c>
      <c r="C13" s="2189"/>
      <c r="D13" s="2189"/>
      <c r="E13" s="2190"/>
    </row>
    <row r="14" spans="1:5" ht="21" customHeight="1">
      <c r="A14" s="891" t="s">
        <v>63</v>
      </c>
      <c r="B14" s="2195"/>
      <c r="C14" s="2196"/>
      <c r="D14" s="2196"/>
      <c r="E14" s="2197"/>
    </row>
    <row r="15" spans="1:5" ht="21" customHeight="1">
      <c r="A15" s="286" t="s">
        <v>763</v>
      </c>
      <c r="B15" s="2188">
        <f>'Anexo 1 _ BAL ORC'!B96</f>
        <v>2701778599</v>
      </c>
      <c r="C15" s="2189"/>
      <c r="D15" s="2189"/>
      <c r="E15" s="2190"/>
    </row>
    <row r="16" spans="1:5" ht="21" customHeight="1">
      <c r="A16" s="286" t="s">
        <v>764</v>
      </c>
      <c r="B16" s="2188">
        <f>B17-B15</f>
        <v>27462676</v>
      </c>
      <c r="C16" s="2189"/>
      <c r="D16" s="2189"/>
      <c r="E16" s="2190"/>
    </row>
    <row r="17" spans="1:5" ht="21" customHeight="1">
      <c r="A17" s="286" t="s">
        <v>765</v>
      </c>
      <c r="B17" s="2188">
        <f>'Anexo 1 _ BAL ORC'!C96</f>
        <v>2729241275</v>
      </c>
      <c r="C17" s="2189"/>
      <c r="D17" s="2189"/>
      <c r="E17" s="2190"/>
    </row>
    <row r="18" spans="1:5" ht="21" customHeight="1">
      <c r="A18" s="286" t="s">
        <v>766</v>
      </c>
      <c r="B18" s="2188">
        <f>'Anexo 1 _ BAL ORC'!E86</f>
        <v>1809827310.29</v>
      </c>
      <c r="C18" s="2189"/>
      <c r="D18" s="2189"/>
      <c r="E18" s="2190"/>
    </row>
    <row r="19" spans="1:5" ht="21" customHeight="1">
      <c r="A19" s="286" t="s">
        <v>767</v>
      </c>
      <c r="B19" s="2188">
        <f>'Anexo 1 _ BAL ORC'!H86</f>
        <v>1066372557.24</v>
      </c>
      <c r="C19" s="2189"/>
      <c r="D19" s="2189"/>
      <c r="E19" s="2190"/>
    </row>
    <row r="20" spans="1:5" ht="21" customHeight="1">
      <c r="A20" s="286" t="s">
        <v>945</v>
      </c>
      <c r="B20" s="2188">
        <f>'Anexo 1 _ BAL ORC'!J86</f>
        <v>908095348.6200001</v>
      </c>
      <c r="C20" s="2189"/>
      <c r="D20" s="2189"/>
      <c r="E20" s="2190"/>
    </row>
    <row r="21" spans="1:5" ht="21" customHeight="1">
      <c r="A21" s="327" t="s">
        <v>768</v>
      </c>
      <c r="B21" s="2220">
        <f>'Anexo 1 _ BAL ORC'!H95</f>
        <v>156809515.6500001</v>
      </c>
      <c r="C21" s="2221"/>
      <c r="D21" s="2221"/>
      <c r="E21" s="2222"/>
    </row>
    <row r="22" spans="1:5" ht="21" customHeight="1">
      <c r="A22" s="286"/>
      <c r="B22" s="286"/>
      <c r="C22" s="328"/>
      <c r="D22" s="328"/>
      <c r="E22" s="168"/>
    </row>
    <row r="23" spans="1:5" ht="21" customHeight="1">
      <c r="A23" s="983" t="s">
        <v>471</v>
      </c>
      <c r="B23" s="2198" t="s">
        <v>103</v>
      </c>
      <c r="C23" s="2199"/>
      <c r="D23" s="2199"/>
      <c r="E23" s="2200"/>
    </row>
    <row r="24" spans="1:5" ht="21" customHeight="1">
      <c r="A24" s="329" t="s">
        <v>469</v>
      </c>
      <c r="B24" s="2209">
        <f>'Anexo 2 _ DP FUNC'!F137</f>
        <v>1809827310.2899997</v>
      </c>
      <c r="C24" s="2210"/>
      <c r="D24" s="2210"/>
      <c r="E24" s="2211"/>
    </row>
    <row r="25" spans="1:5" ht="21" customHeight="1">
      <c r="A25" s="330" t="s">
        <v>470</v>
      </c>
      <c r="B25" s="2217">
        <f>'Anexo 2 _ DP FUNC'!J137</f>
        <v>1066372557.2399999</v>
      </c>
      <c r="C25" s="2218"/>
      <c r="D25" s="2218"/>
      <c r="E25" s="2219"/>
    </row>
    <row r="26" spans="1:5" ht="21" customHeight="1">
      <c r="A26" s="286"/>
      <c r="B26" s="286"/>
      <c r="C26" s="331"/>
      <c r="D26" s="328"/>
      <c r="E26" s="332"/>
    </row>
    <row r="27" spans="1:5" ht="21" customHeight="1">
      <c r="A27" s="982" t="s">
        <v>472</v>
      </c>
      <c r="B27" s="2212"/>
      <c r="C27" s="2212"/>
      <c r="D27" s="2198" t="s">
        <v>721</v>
      </c>
      <c r="E27" s="2213"/>
    </row>
    <row r="28" spans="1:5" ht="21" customHeight="1">
      <c r="A28" s="306" t="s">
        <v>473</v>
      </c>
      <c r="B28" s="2214"/>
      <c r="C28" s="2214"/>
      <c r="D28" s="2215">
        <f>'Anexo 3 _ RCL'!P35</f>
        <v>2165762835.03</v>
      </c>
      <c r="E28" s="2216"/>
    </row>
    <row r="29" spans="1:5" ht="21" customHeight="1">
      <c r="A29" s="286"/>
      <c r="B29" s="286"/>
      <c r="C29" s="328"/>
      <c r="D29" s="328"/>
      <c r="E29" s="168"/>
    </row>
    <row r="30" spans="1:5" ht="21" customHeight="1">
      <c r="A30" s="983" t="s">
        <v>772</v>
      </c>
      <c r="B30" s="2198" t="s">
        <v>103</v>
      </c>
      <c r="C30" s="2199"/>
      <c r="D30" s="2199"/>
      <c r="E30" s="2200"/>
    </row>
    <row r="31" spans="1:5" s="110" customFormat="1" ht="21" customHeight="1">
      <c r="A31" s="334" t="s">
        <v>474</v>
      </c>
      <c r="B31" s="2201"/>
      <c r="C31" s="2202"/>
      <c r="D31" s="2202"/>
      <c r="E31" s="1646"/>
    </row>
    <row r="32" spans="1:5" ht="21" customHeight="1">
      <c r="A32" s="329" t="s">
        <v>773</v>
      </c>
      <c r="B32" s="2182"/>
      <c r="C32" s="2183"/>
      <c r="D32" s="2183"/>
      <c r="E32" s="2184"/>
    </row>
    <row r="33" spans="1:5" ht="21" customHeight="1">
      <c r="A33" s="329" t="s">
        <v>774</v>
      </c>
      <c r="B33" s="2182"/>
      <c r="C33" s="2183"/>
      <c r="D33" s="2183"/>
      <c r="E33" s="2184"/>
    </row>
    <row r="34" spans="1:5" ht="21" customHeight="1">
      <c r="A34" s="329" t="s">
        <v>775</v>
      </c>
      <c r="B34" s="2191"/>
      <c r="C34" s="2192"/>
      <c r="D34" s="2192"/>
      <c r="E34" s="2193"/>
    </row>
    <row r="35" spans="1:5" ht="21" customHeight="1">
      <c r="A35" s="336" t="s">
        <v>475</v>
      </c>
      <c r="B35" s="2191"/>
      <c r="C35" s="2194"/>
      <c r="D35" s="2194"/>
      <c r="E35" s="2193"/>
    </row>
    <row r="36" spans="1:5" ht="21" customHeight="1">
      <c r="A36" s="329" t="s">
        <v>776</v>
      </c>
      <c r="B36" s="2182">
        <f>'Anexo 4 _ PREVID '!D38</f>
        <v>89721207.28999999</v>
      </c>
      <c r="C36" s="2183"/>
      <c r="D36" s="2183"/>
      <c r="E36" s="2184"/>
    </row>
    <row r="37" spans="1:5" ht="21" customHeight="1">
      <c r="A37" s="329" t="s">
        <v>777</v>
      </c>
      <c r="B37" s="2182">
        <f>'Anexo 4 _ PREVID '!G60</f>
        <v>94610289.16</v>
      </c>
      <c r="C37" s="2183"/>
      <c r="D37" s="2183"/>
      <c r="E37" s="2184"/>
    </row>
    <row r="38" spans="1:5" ht="21" customHeight="1">
      <c r="A38" s="330" t="s">
        <v>778</v>
      </c>
      <c r="B38" s="2185">
        <f>B36-B37</f>
        <v>-4889081.870000005</v>
      </c>
      <c r="C38" s="2186"/>
      <c r="D38" s="2186"/>
      <c r="E38" s="2187"/>
    </row>
    <row r="39" spans="1:5" ht="21" customHeight="1">
      <c r="A39" s="168"/>
      <c r="B39" s="168"/>
      <c r="C39" s="335"/>
      <c r="D39" s="168"/>
      <c r="E39" s="337"/>
    </row>
    <row r="40" spans="1:5" ht="39" customHeight="1">
      <c r="A40" s="2223" t="s">
        <v>476</v>
      </c>
      <c r="B40" s="984" t="s">
        <v>779</v>
      </c>
      <c r="C40" s="984" t="s">
        <v>791</v>
      </c>
      <c r="D40" s="2224" t="s">
        <v>477</v>
      </c>
      <c r="E40" s="2225"/>
    </row>
    <row r="41" spans="1:5" ht="29.25" customHeight="1">
      <c r="A41" s="2223"/>
      <c r="B41" s="985" t="s">
        <v>105</v>
      </c>
      <c r="C41" s="986" t="s">
        <v>106</v>
      </c>
      <c r="D41" s="2226" t="s">
        <v>107</v>
      </c>
      <c r="E41" s="2227"/>
    </row>
    <row r="42" spans="1:5" ht="21" customHeight="1">
      <c r="A42" s="333" t="s">
        <v>478</v>
      </c>
      <c r="B42" s="338">
        <f>'Anexo 5 _ RES NOM'!F28</f>
        <v>178316310</v>
      </c>
      <c r="C42" s="339">
        <f>'Anexo 5 _ RES NOM'!E24</f>
        <v>124825593.94999999</v>
      </c>
      <c r="D42" s="2228">
        <f>(C42/B42)*100</f>
        <v>70.00234243855763</v>
      </c>
      <c r="E42" s="2229"/>
    </row>
    <row r="43" spans="1:5" ht="21" customHeight="1">
      <c r="A43" s="327" t="s">
        <v>479</v>
      </c>
      <c r="B43" s="340">
        <f>'Anexo 6 _ RES PRIM'!N67</f>
        <v>-92659180</v>
      </c>
      <c r="C43" s="341">
        <f>'Anexo 6 _ RES PRIM'!E61</f>
        <v>131100901.83999991</v>
      </c>
      <c r="D43" s="2230">
        <f>(C43/B43)*100</f>
        <v>-141.48722429876878</v>
      </c>
      <c r="E43" s="2231"/>
    </row>
    <row r="44" spans="1:5" ht="21" customHeight="1">
      <c r="A44" s="168"/>
      <c r="B44" s="168"/>
      <c r="C44" s="335"/>
      <c r="D44" s="168"/>
      <c r="E44" s="168"/>
    </row>
    <row r="45" spans="1:5" ht="33" customHeight="1">
      <c r="A45" s="983" t="s">
        <v>784</v>
      </c>
      <c r="B45" s="987" t="s">
        <v>480</v>
      </c>
      <c r="C45" s="988" t="s">
        <v>793</v>
      </c>
      <c r="D45" s="988" t="s">
        <v>792</v>
      </c>
      <c r="E45" s="989" t="s">
        <v>794</v>
      </c>
    </row>
    <row r="46" spans="1:5" s="123" customFormat="1" ht="21" customHeight="1">
      <c r="A46" s="334" t="s">
        <v>481</v>
      </c>
      <c r="B46" s="590">
        <f>B47+B48</f>
        <v>529029420.9</v>
      </c>
      <c r="C46" s="590">
        <f>C47+C48</f>
        <v>133025.7</v>
      </c>
      <c r="D46" s="590">
        <f>D47+D48</f>
        <v>108836664.73999998</v>
      </c>
      <c r="E46" s="917">
        <f>E47+E48</f>
        <v>420059730.46000004</v>
      </c>
    </row>
    <row r="47" spans="1:5" ht="21" customHeight="1">
      <c r="A47" s="329" t="s">
        <v>780</v>
      </c>
      <c r="B47" s="342">
        <f>'Anexo 7 _  RP'!B60+'Anexo 7 _  RP'!C60</f>
        <v>529029420.9</v>
      </c>
      <c r="C47" s="342">
        <f>'Anexo 7 _  RP'!E60</f>
        <v>133025.7</v>
      </c>
      <c r="D47" s="342">
        <f>'Anexo 7 _  RP'!D60</f>
        <v>108836664.73999998</v>
      </c>
      <c r="E47" s="918">
        <f>B47-C47-D47</f>
        <v>420059730.46000004</v>
      </c>
    </row>
    <row r="48" spans="1:5" ht="21" customHeight="1">
      <c r="A48" s="329" t="s">
        <v>781</v>
      </c>
      <c r="B48" s="342"/>
      <c r="C48" s="342"/>
      <c r="D48" s="342"/>
      <c r="E48" s="918">
        <f>B48-C48-D48</f>
        <v>0</v>
      </c>
    </row>
    <row r="49" spans="1:5" s="123" customFormat="1" ht="21" customHeight="1">
      <c r="A49" s="334" t="s">
        <v>482</v>
      </c>
      <c r="B49" s="590">
        <f>B50+B51</f>
        <v>237765941.81</v>
      </c>
      <c r="C49" s="590">
        <f>C50+C51</f>
        <v>12037205.32</v>
      </c>
      <c r="D49" s="590">
        <f>D50+D51</f>
        <v>46584450.93000001</v>
      </c>
      <c r="E49" s="917">
        <f>E50+E51</f>
        <v>179144285.56</v>
      </c>
    </row>
    <row r="50" spans="1:5" ht="21" customHeight="1">
      <c r="A50" s="329" t="s">
        <v>780</v>
      </c>
      <c r="B50" s="342">
        <f>'Anexo 7 _  RP'!G60+'Anexo 7 _  RP'!H60</f>
        <v>237765941.81</v>
      </c>
      <c r="C50" s="342">
        <f>'Anexo 7 _  RP'!K60</f>
        <v>12037205.32</v>
      </c>
      <c r="D50" s="342">
        <f>'Anexo 7 _  RP'!J60</f>
        <v>46584450.93000001</v>
      </c>
      <c r="E50" s="918">
        <f>B50-C50-D50</f>
        <v>179144285.56</v>
      </c>
    </row>
    <row r="51" spans="1:5" ht="21" customHeight="1">
      <c r="A51" s="329" t="s">
        <v>781</v>
      </c>
      <c r="B51" s="342"/>
      <c r="C51" s="342"/>
      <c r="D51" s="342"/>
      <c r="E51" s="918">
        <f>B51-C51-D51</f>
        <v>0</v>
      </c>
    </row>
    <row r="52" spans="1:5" ht="21" customHeight="1">
      <c r="A52" s="344" t="s">
        <v>396</v>
      </c>
      <c r="B52" s="345">
        <f>B46+B49</f>
        <v>766795362.71</v>
      </c>
      <c r="C52" s="345">
        <f>C46+C49</f>
        <v>12170231.02</v>
      </c>
      <c r="D52" s="346">
        <f>D46+D49</f>
        <v>155421115.67</v>
      </c>
      <c r="E52" s="919">
        <f>E46+E49</f>
        <v>599204016.02</v>
      </c>
    </row>
    <row r="53" spans="1:5" ht="21" customHeight="1">
      <c r="A53" s="1370"/>
      <c r="B53" s="1370"/>
      <c r="C53" s="335"/>
      <c r="D53" s="347"/>
      <c r="E53" s="347"/>
    </row>
    <row r="54" spans="1:6" ht="15" customHeight="1">
      <c r="A54" s="2207" t="s">
        <v>466</v>
      </c>
      <c r="B54" s="2207"/>
      <c r="C54" s="2207"/>
      <c r="D54" s="2207"/>
      <c r="E54" s="2207"/>
      <c r="F54" s="323"/>
    </row>
    <row r="55" spans="1:6" ht="15" customHeight="1">
      <c r="A55" s="2208" t="s">
        <v>467</v>
      </c>
      <c r="B55" s="2208"/>
      <c r="C55" s="2208"/>
      <c r="D55" s="2208"/>
      <c r="E55" s="2208"/>
      <c r="F55" s="324"/>
    </row>
    <row r="56" spans="1:6" ht="15" customHeight="1">
      <c r="A56" s="2207" t="s">
        <v>2</v>
      </c>
      <c r="B56" s="2207"/>
      <c r="C56" s="2207"/>
      <c r="D56" s="2207"/>
      <c r="E56" s="2207"/>
      <c r="F56" s="323"/>
    </row>
    <row r="57" spans="1:11" s="231" customFormat="1" ht="15.75" customHeight="1">
      <c r="A57" s="1581" t="str">
        <f>A4</f>
        <v>Referência: JANEIRO-JUNHO/2015; BIMESTRE: MAIO-JUNHO/2015</v>
      </c>
      <c r="B57" s="1581"/>
      <c r="C57" s="1581"/>
      <c r="D57" s="1581"/>
      <c r="E57" s="1581"/>
      <c r="F57" s="228"/>
      <c r="G57" s="228"/>
      <c r="H57" s="228"/>
      <c r="I57" s="228"/>
      <c r="J57" s="229"/>
      <c r="K57" s="230"/>
    </row>
    <row r="58" spans="1:6" ht="15" customHeight="1">
      <c r="A58" s="2232"/>
      <c r="B58" s="2232"/>
      <c r="C58" s="2232"/>
      <c r="D58" s="2232"/>
      <c r="E58" s="2232"/>
      <c r="F58" s="323"/>
    </row>
    <row r="59" spans="1:5" ht="15" customHeight="1">
      <c r="A59" s="167"/>
      <c r="B59" s="624"/>
      <c r="C59" s="2236" t="str">
        <f>C4</f>
        <v>Publicação: Diário Oficial do Município nº 140</v>
      </c>
      <c r="D59" s="2236"/>
      <c r="E59" s="2236"/>
    </row>
    <row r="60" spans="1:5" ht="15" customHeight="1">
      <c r="A60" s="111" t="s">
        <v>690</v>
      </c>
      <c r="B60" s="625"/>
      <c r="C60" s="1051" t="str">
        <f>C5</f>
        <v>Data: 30/07/2015</v>
      </c>
      <c r="D60" s="168"/>
      <c r="E60" s="611" t="s">
        <v>539</v>
      </c>
    </row>
    <row r="61" spans="1:5" ht="15" customHeight="1">
      <c r="A61" s="2233" t="s">
        <v>918</v>
      </c>
      <c r="B61" s="990" t="s">
        <v>483</v>
      </c>
      <c r="C61" s="2198" t="s">
        <v>484</v>
      </c>
      <c r="D61" s="2198"/>
      <c r="E61" s="2213"/>
    </row>
    <row r="62" spans="1:5" ht="25.5" customHeight="1">
      <c r="A62" s="2233"/>
      <c r="B62" s="991" t="s">
        <v>485</v>
      </c>
      <c r="C62" s="992" t="s">
        <v>522</v>
      </c>
      <c r="D62" s="2198" t="s">
        <v>782</v>
      </c>
      <c r="E62" s="2213"/>
    </row>
    <row r="63" spans="1:5" ht="21" customHeight="1">
      <c r="A63" s="329" t="s">
        <v>783</v>
      </c>
      <c r="B63" s="343">
        <f>'Anexo 8 _ ENSINO'!E159</f>
        <v>234717963.70999998</v>
      </c>
      <c r="C63" s="348" t="s">
        <v>486</v>
      </c>
      <c r="D63" s="2234">
        <f>'Anexo 8 _ ENSINO'!E160</f>
        <v>29.5665174758676</v>
      </c>
      <c r="E63" s="2235"/>
    </row>
    <row r="64" spans="1:5" ht="21" customHeight="1">
      <c r="A64" s="329" t="s">
        <v>818</v>
      </c>
      <c r="B64" s="343">
        <f>'Anexo 8 _ ENSINO'!F140</f>
        <v>213729104.76999998</v>
      </c>
      <c r="C64" s="348">
        <v>0.6</v>
      </c>
      <c r="D64" s="2245">
        <f>B64/'Anexo 8 _ ENSINO'!F147*100</f>
        <v>91.81302597923845</v>
      </c>
      <c r="E64" s="2246"/>
    </row>
    <row r="65" spans="1:5" ht="21" customHeight="1">
      <c r="A65" s="286" t="s">
        <v>819</v>
      </c>
      <c r="B65" s="771">
        <f>'Anexo 8 _ ENSINO'!F100</f>
        <v>126313366.17999999</v>
      </c>
      <c r="C65" s="772">
        <v>0.6</v>
      </c>
      <c r="D65" s="2245">
        <f>B65/'Anexo 8 _ ENSINO'!D83*100</f>
        <v>67.08229561008642</v>
      </c>
      <c r="E65" s="2246"/>
    </row>
    <row r="66" spans="1:5" ht="21" customHeight="1">
      <c r="A66" s="768" t="s">
        <v>820</v>
      </c>
      <c r="B66" s="769">
        <f>'Anexo 8 _ ENSINO'!E152</f>
        <v>13780959.59</v>
      </c>
      <c r="C66" s="770">
        <v>0.1</v>
      </c>
      <c r="D66" s="2247">
        <f>B66/'Anexo 8 _ ENSINO'!D85*100</f>
        <v>12.887051926511392</v>
      </c>
      <c r="E66" s="2248"/>
    </row>
    <row r="67" spans="1:5" ht="15" customHeight="1">
      <c r="A67" s="286"/>
      <c r="B67" s="286"/>
      <c r="C67" s="349"/>
      <c r="D67" s="350"/>
      <c r="E67" s="350"/>
    </row>
    <row r="68" spans="1:5" s="246" customFormat="1" ht="21" customHeight="1">
      <c r="A68" s="993" t="s">
        <v>487</v>
      </c>
      <c r="B68" s="2238" t="s">
        <v>488</v>
      </c>
      <c r="C68" s="2238"/>
      <c r="D68" s="2239" t="s">
        <v>489</v>
      </c>
      <c r="E68" s="2240"/>
    </row>
    <row r="69" spans="1:5" s="246" customFormat="1" ht="21" customHeight="1">
      <c r="A69" s="351" t="s">
        <v>490</v>
      </c>
      <c r="B69" s="2243"/>
      <c r="C69" s="2244"/>
      <c r="D69" s="2243"/>
      <c r="E69" s="2251"/>
    </row>
    <row r="70" spans="1:5" s="246" customFormat="1" ht="21" customHeight="1">
      <c r="A70" s="353" t="s">
        <v>491</v>
      </c>
      <c r="B70" s="2249"/>
      <c r="C70" s="2250"/>
      <c r="D70" s="2241"/>
      <c r="E70" s="2242"/>
    </row>
    <row r="71" spans="1:5" s="246" customFormat="1" ht="21" customHeight="1">
      <c r="A71" s="354"/>
      <c r="B71" s="354"/>
      <c r="C71" s="355"/>
      <c r="D71" s="354"/>
      <c r="E71" s="354"/>
    </row>
    <row r="72" spans="1:5" s="246" customFormat="1" ht="21" customHeight="1">
      <c r="A72" s="994" t="s">
        <v>492</v>
      </c>
      <c r="B72" s="995" t="s">
        <v>795</v>
      </c>
      <c r="C72" s="996" t="s">
        <v>493</v>
      </c>
      <c r="D72" s="995" t="s">
        <v>494</v>
      </c>
      <c r="E72" s="997" t="s">
        <v>495</v>
      </c>
    </row>
    <row r="73" spans="1:5" s="246" customFormat="1" ht="21" customHeight="1">
      <c r="A73" s="614" t="s">
        <v>474</v>
      </c>
      <c r="B73" s="357"/>
      <c r="C73" s="358"/>
      <c r="D73" s="352"/>
      <c r="E73" s="920"/>
    </row>
    <row r="74" spans="1:5" s="246" customFormat="1" ht="21" customHeight="1">
      <c r="A74" s="356" t="s">
        <v>496</v>
      </c>
      <c r="B74" s="360"/>
      <c r="C74" s="361"/>
      <c r="D74" s="359"/>
      <c r="E74" s="920"/>
    </row>
    <row r="75" spans="1:5" s="246" customFormat="1" ht="21" customHeight="1">
      <c r="A75" s="356" t="s">
        <v>497</v>
      </c>
      <c r="B75" s="362"/>
      <c r="C75" s="361"/>
      <c r="D75" s="359"/>
      <c r="E75" s="920"/>
    </row>
    <row r="76" spans="1:5" s="245" customFormat="1" ht="21" customHeight="1">
      <c r="A76" s="614" t="s">
        <v>785</v>
      </c>
      <c r="B76" s="615">
        <f>B74-B75</f>
        <v>0</v>
      </c>
      <c r="C76" s="615">
        <f>C74-C75</f>
        <v>0</v>
      </c>
      <c r="D76" s="616">
        <f>D74-D75</f>
        <v>0</v>
      </c>
      <c r="E76" s="921">
        <f>E74-E75</f>
        <v>0</v>
      </c>
    </row>
    <row r="77" spans="1:5" s="246" customFormat="1" ht="21" customHeight="1">
      <c r="A77" s="614" t="s">
        <v>475</v>
      </c>
      <c r="B77" s="362"/>
      <c r="C77" s="361"/>
      <c r="D77" s="359"/>
      <c r="E77" s="920"/>
    </row>
    <row r="78" spans="1:5" s="246" customFormat="1" ht="21" customHeight="1">
      <c r="A78" s="356" t="s">
        <v>498</v>
      </c>
      <c r="B78" s="363"/>
      <c r="C78" s="363"/>
      <c r="D78" s="364"/>
      <c r="E78" s="922"/>
    </row>
    <row r="79" spans="1:5" s="246" customFormat="1" ht="21" customHeight="1">
      <c r="A79" s="356" t="s">
        <v>499</v>
      </c>
      <c r="B79" s="363"/>
      <c r="C79" s="363"/>
      <c r="D79" s="364"/>
      <c r="E79" s="922"/>
    </row>
    <row r="80" spans="1:5" s="245" customFormat="1" ht="21" customHeight="1">
      <c r="A80" s="614" t="s">
        <v>786</v>
      </c>
      <c r="B80" s="617">
        <f>B78-B79</f>
        <v>0</v>
      </c>
      <c r="C80" s="617">
        <f>C78-C79</f>
        <v>0</v>
      </c>
      <c r="D80" s="618">
        <f>D78-D79</f>
        <v>0</v>
      </c>
      <c r="E80" s="923">
        <f>E78-E79</f>
        <v>0</v>
      </c>
    </row>
    <row r="81" spans="1:5" s="246" customFormat="1" ht="15" customHeight="1">
      <c r="A81" s="365"/>
      <c r="B81" s="893"/>
      <c r="C81" s="366"/>
      <c r="D81" s="893"/>
      <c r="E81" s="924"/>
    </row>
    <row r="82" spans="1:5" s="246" customFormat="1" ht="21" customHeight="1">
      <c r="A82" s="994" t="s">
        <v>500</v>
      </c>
      <c r="B82" s="2238" t="s">
        <v>488</v>
      </c>
      <c r="C82" s="2238"/>
      <c r="D82" s="2239" t="s">
        <v>489</v>
      </c>
      <c r="E82" s="2240"/>
    </row>
    <row r="83" spans="1:5" s="246" customFormat="1" ht="21" customHeight="1">
      <c r="A83" s="356" t="s">
        <v>501</v>
      </c>
      <c r="B83" s="2243"/>
      <c r="C83" s="2244"/>
      <c r="D83" s="2243"/>
      <c r="E83" s="2251"/>
    </row>
    <row r="84" spans="1:5" s="246" customFormat="1" ht="21" customHeight="1">
      <c r="A84" s="353" t="s">
        <v>502</v>
      </c>
      <c r="B84" s="2241"/>
      <c r="C84" s="2263"/>
      <c r="D84" s="2241"/>
      <c r="E84" s="2242"/>
    </row>
    <row r="85" spans="1:5" s="246" customFormat="1" ht="21" customHeight="1">
      <c r="A85" s="367"/>
      <c r="B85" s="365"/>
      <c r="C85" s="474"/>
      <c r="D85" s="366"/>
      <c r="E85" s="475"/>
    </row>
    <row r="86" spans="1:5" s="246" customFormat="1" ht="21" customHeight="1">
      <c r="A86" s="2252" t="s">
        <v>789</v>
      </c>
      <c r="B86" s="2254" t="s">
        <v>488</v>
      </c>
      <c r="C86" s="2255"/>
      <c r="D86" s="2239" t="s">
        <v>787</v>
      </c>
      <c r="E86" s="2240"/>
    </row>
    <row r="87" spans="1:5" s="246" customFormat="1" ht="30" customHeight="1">
      <c r="A87" s="2253"/>
      <c r="B87" s="2256"/>
      <c r="C87" s="2257"/>
      <c r="D87" s="998" t="s">
        <v>788</v>
      </c>
      <c r="E87" s="999" t="s">
        <v>782</v>
      </c>
    </row>
    <row r="88" spans="1:5" s="246" customFormat="1" ht="21" customHeight="1">
      <c r="A88" s="895" t="s">
        <v>790</v>
      </c>
      <c r="B88" s="2258">
        <f>'Anexo 12 _ SAÚDE '!G84+'Anexo 12 _ SAÚDE '!I84</f>
        <v>208591595.39000002</v>
      </c>
      <c r="C88" s="2259"/>
      <c r="D88" s="925">
        <v>15</v>
      </c>
      <c r="E88" s="925">
        <f>'Anexo 12 _ SAÚDE '!H86</f>
        <v>26.275479528432804</v>
      </c>
    </row>
    <row r="89" spans="1:5" s="246" customFormat="1" ht="21" customHeight="1">
      <c r="A89" s="367"/>
      <c r="B89" s="365"/>
      <c r="C89" s="894"/>
      <c r="D89" s="365"/>
      <c r="E89" s="365"/>
    </row>
    <row r="90" spans="1:5" s="246" customFormat="1" ht="21" customHeight="1">
      <c r="A90" s="1000" t="s">
        <v>503</v>
      </c>
      <c r="B90" s="2239" t="s">
        <v>504</v>
      </c>
      <c r="C90" s="2239"/>
      <c r="D90" s="2239"/>
      <c r="E90" s="2240"/>
    </row>
    <row r="91" spans="1:5" s="246" customFormat="1" ht="21" customHeight="1">
      <c r="A91" s="368" t="s">
        <v>505</v>
      </c>
      <c r="B91" s="2260"/>
      <c r="C91" s="2261"/>
      <c r="D91" s="2261"/>
      <c r="E91" s="2262"/>
    </row>
    <row r="92" spans="1:4" ht="18.75" customHeight="1">
      <c r="A92" s="236" t="s">
        <v>89</v>
      </c>
      <c r="C92" s="2237"/>
      <c r="D92" s="2237"/>
    </row>
    <row r="93" spans="1:5" s="235" customFormat="1" ht="15" customHeight="1">
      <c r="A93" s="227"/>
      <c r="B93" s="316"/>
      <c r="C93" s="233"/>
      <c r="D93" s="233"/>
      <c r="E93" s="316"/>
    </row>
    <row r="94" spans="1:5" s="235" customFormat="1" ht="15" customHeight="1">
      <c r="A94" s="473" t="str">
        <f>'Anexo 6 _ RES PRIM'!A69</f>
        <v>  São Luís, 30 de Julho de 2015</v>
      </c>
      <c r="B94" s="316"/>
      <c r="C94" s="233"/>
      <c r="D94" s="233"/>
      <c r="E94" s="316"/>
    </row>
    <row r="95" spans="1:5" s="235" customFormat="1" ht="15" customHeight="1">
      <c r="A95" s="227"/>
      <c r="B95" s="316"/>
      <c r="C95" s="233"/>
      <c r="D95" s="233"/>
      <c r="E95" s="316"/>
    </row>
    <row r="96" spans="1:5" s="235" customFormat="1" ht="12.75" customHeight="1">
      <c r="A96" s="473"/>
      <c r="B96" s="316"/>
      <c r="C96" s="316"/>
      <c r="D96" s="316"/>
      <c r="E96" s="316"/>
    </row>
    <row r="97" spans="1:5" s="235" customFormat="1" ht="12.75" customHeight="1">
      <c r="A97" s="321"/>
      <c r="B97" s="316"/>
      <c r="C97" s="316"/>
      <c r="D97" s="316"/>
      <c r="E97" s="316"/>
    </row>
    <row r="98" spans="1:5" s="235" customFormat="1" ht="12.75" customHeight="1">
      <c r="A98" s="321"/>
      <c r="B98" s="316"/>
      <c r="C98" s="316"/>
      <c r="D98" s="316"/>
      <c r="E98" s="316"/>
    </row>
    <row r="99" spans="1:5" s="235" customFormat="1" ht="12.75" customHeight="1">
      <c r="A99" s="321"/>
      <c r="B99" s="316"/>
      <c r="C99" s="316"/>
      <c r="D99" s="316"/>
      <c r="E99" s="316"/>
    </row>
    <row r="100" spans="1:5" s="235" customFormat="1" ht="12.75" customHeight="1">
      <c r="A100" s="321"/>
      <c r="B100" s="316"/>
      <c r="C100" s="316"/>
      <c r="D100" s="316"/>
      <c r="E100" s="316"/>
    </row>
    <row r="101" spans="1:5" s="235" customFormat="1" ht="12.75" customHeight="1">
      <c r="A101" s="321"/>
      <c r="B101" s="316"/>
      <c r="C101" s="316"/>
      <c r="D101" s="316"/>
      <c r="E101" s="316"/>
    </row>
    <row r="102" spans="1:5" s="235" customFormat="1" ht="12.75" customHeight="1">
      <c r="A102" s="321"/>
      <c r="B102" s="316"/>
      <c r="C102" s="316"/>
      <c r="D102" s="316"/>
      <c r="E102" s="316"/>
    </row>
    <row r="103" spans="1:5" s="235" customFormat="1" ht="12.75" customHeight="1">
      <c r="A103" s="238"/>
      <c r="B103" s="239"/>
      <c r="C103" s="108"/>
      <c r="D103" s="108"/>
      <c r="E103" s="108"/>
    </row>
    <row r="112" ht="10.5" customHeight="1"/>
    <row r="114" ht="14.25" customHeight="1"/>
    <row r="115" ht="147.7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.5" customHeight="1" hidden="1"/>
    <row r="133" ht="15" customHeight="1" hidden="1"/>
    <row r="134" ht="15" customHeight="1" hidden="1"/>
    <row r="135" ht="15" customHeight="1" hidden="1"/>
  </sheetData>
  <sheetProtection/>
  <mergeCells count="73">
    <mergeCell ref="A86:A87"/>
    <mergeCell ref="B90:E90"/>
    <mergeCell ref="B86:C87"/>
    <mergeCell ref="B88:C88"/>
    <mergeCell ref="D83:E83"/>
    <mergeCell ref="B91:E91"/>
    <mergeCell ref="B84:C84"/>
    <mergeCell ref="D84:E84"/>
    <mergeCell ref="D64:E64"/>
    <mergeCell ref="D65:E65"/>
    <mergeCell ref="D66:E66"/>
    <mergeCell ref="B69:C69"/>
    <mergeCell ref="B70:C70"/>
    <mergeCell ref="D69:E69"/>
    <mergeCell ref="D63:E63"/>
    <mergeCell ref="C59:E59"/>
    <mergeCell ref="C92:D92"/>
    <mergeCell ref="B68:C68"/>
    <mergeCell ref="D68:E68"/>
    <mergeCell ref="B82:C82"/>
    <mergeCell ref="D82:E82"/>
    <mergeCell ref="D86:E86"/>
    <mergeCell ref="D70:E70"/>
    <mergeCell ref="B83:C83"/>
    <mergeCell ref="A55:E55"/>
    <mergeCell ref="A56:E56"/>
    <mergeCell ref="A57:E57"/>
    <mergeCell ref="A58:E58"/>
    <mergeCell ref="A61:A62"/>
    <mergeCell ref="C61:E61"/>
    <mergeCell ref="D62:E62"/>
    <mergeCell ref="A40:A41"/>
    <mergeCell ref="D40:E40"/>
    <mergeCell ref="D41:E41"/>
    <mergeCell ref="D42:E42"/>
    <mergeCell ref="D43:E43"/>
    <mergeCell ref="A54:E54"/>
    <mergeCell ref="B9:E9"/>
    <mergeCell ref="B24:E24"/>
    <mergeCell ref="B27:C27"/>
    <mergeCell ref="D27:E27"/>
    <mergeCell ref="B28:C28"/>
    <mergeCell ref="D28:E28"/>
    <mergeCell ref="B25:E25"/>
    <mergeCell ref="B21:E21"/>
    <mergeCell ref="B23:E23"/>
    <mergeCell ref="B10:E10"/>
    <mergeCell ref="B7:E7"/>
    <mergeCell ref="C5:E5"/>
    <mergeCell ref="A1:E1"/>
    <mergeCell ref="A2:E2"/>
    <mergeCell ref="A3:E3"/>
    <mergeCell ref="C4:E4"/>
    <mergeCell ref="A4:B4"/>
    <mergeCell ref="B11:E11"/>
    <mergeCell ref="B12:E12"/>
    <mergeCell ref="B13:E13"/>
    <mergeCell ref="B14:E14"/>
    <mergeCell ref="B20:E20"/>
    <mergeCell ref="B36:E36"/>
    <mergeCell ref="B30:E30"/>
    <mergeCell ref="B32:E32"/>
    <mergeCell ref="B31:E31"/>
    <mergeCell ref="B33:E33"/>
    <mergeCell ref="B37:E37"/>
    <mergeCell ref="B38:E38"/>
    <mergeCell ref="B15:E15"/>
    <mergeCell ref="B16:E16"/>
    <mergeCell ref="B17:E17"/>
    <mergeCell ref="B18:E18"/>
    <mergeCell ref="B19:E19"/>
    <mergeCell ref="B34:E34"/>
    <mergeCell ref="B35:E35"/>
  </mergeCells>
  <printOptions horizontalCentered="1"/>
  <pageMargins left="0.5902777777777778" right="0.7875" top="0.7097222222222223" bottom="0.7097222222222223" header="0.5118055555555556" footer="0.5118055555555556"/>
  <pageSetup horizontalDpi="600" verticalDpi="600" orientation="portrait" paperSize="9" scale="64" r:id="rId2"/>
  <rowBreaks count="1" manualBreakCount="1">
    <brk id="53" max="255" man="1"/>
  </rowBreaks>
  <ignoredErrors>
    <ignoredError sqref="E4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AP261"/>
  <sheetViews>
    <sheetView showGridLines="0" zoomScale="85" zoomScaleNormal="85" zoomScaleSheetLayoutView="90" zoomScalePageLayoutView="0" workbookViewId="0" topLeftCell="D1">
      <selection activeCell="F108" sqref="F108"/>
    </sheetView>
  </sheetViews>
  <sheetFormatPr defaultColWidth="9.140625" defaultRowHeight="12.75"/>
  <cols>
    <col min="1" max="1" width="9.8515625" style="161" customWidth="1"/>
    <col min="2" max="2" width="20.7109375" style="161" customWidth="1"/>
    <col min="3" max="3" width="15.28125" style="161" customWidth="1"/>
    <col min="4" max="4" width="15.421875" style="112" customWidth="1"/>
    <col min="5" max="5" width="15.00390625" style="169" bestFit="1" customWidth="1"/>
    <col min="6" max="6" width="15.57421875" style="112" customWidth="1"/>
    <col min="7" max="7" width="9.421875" style="112" customWidth="1"/>
    <col min="8" max="8" width="16.28125" style="112" customWidth="1"/>
    <col min="9" max="9" width="14.57421875" style="169" customWidth="1"/>
    <col min="10" max="10" width="15.421875" style="112" bestFit="1" customWidth="1"/>
    <col min="11" max="11" width="9.421875" style="112" customWidth="1"/>
    <col min="12" max="12" width="17.00390625" style="112" customWidth="1"/>
    <col min="13" max="13" width="12.8515625" style="112" customWidth="1"/>
    <col min="14" max="14" width="20.8515625" style="112" customWidth="1"/>
    <col min="15" max="15" width="16.140625" style="112" bestFit="1" customWidth="1"/>
    <col min="16" max="16384" width="9.140625" style="111" customWidth="1"/>
  </cols>
  <sheetData>
    <row r="1" spans="1:15" s="113" customFormat="1" ht="12.75" customHeight="1">
      <c r="A1" s="958"/>
      <c r="B1" s="958" t="s">
        <v>93</v>
      </c>
      <c r="C1" s="958"/>
      <c r="D1" s="958"/>
      <c r="E1" s="959"/>
      <c r="F1" s="958"/>
      <c r="G1" s="958"/>
      <c r="H1" s="958"/>
      <c r="I1" s="387"/>
      <c r="J1" s="114"/>
      <c r="K1" s="114"/>
      <c r="L1" s="114"/>
      <c r="M1" s="114"/>
      <c r="N1" s="114"/>
      <c r="O1" s="114"/>
    </row>
    <row r="2" spans="1:15" s="113" customFormat="1" ht="12.75" customHeight="1">
      <c r="A2" s="958"/>
      <c r="B2" s="958" t="s">
        <v>94</v>
      </c>
      <c r="C2" s="958"/>
      <c r="D2" s="958"/>
      <c r="E2" s="959"/>
      <c r="F2" s="958"/>
      <c r="G2" s="958"/>
      <c r="H2" s="958"/>
      <c r="I2" s="387"/>
      <c r="J2" s="114"/>
      <c r="K2" s="114"/>
      <c r="L2" s="114"/>
      <c r="M2" s="114"/>
      <c r="N2" s="114"/>
      <c r="O2" s="114"/>
    </row>
    <row r="3" spans="1:15" s="113" customFormat="1" ht="12.75" customHeight="1">
      <c r="A3" s="958"/>
      <c r="B3" s="958" t="s">
        <v>95</v>
      </c>
      <c r="C3" s="958"/>
      <c r="D3" s="958"/>
      <c r="E3" s="959"/>
      <c r="F3" s="958"/>
      <c r="G3" s="958"/>
      <c r="H3" s="958"/>
      <c r="I3" s="387"/>
      <c r="J3" s="114"/>
      <c r="K3" s="114"/>
      <c r="L3" s="114"/>
      <c r="M3" s="114"/>
      <c r="N3" s="114"/>
      <c r="O3" s="114"/>
    </row>
    <row r="4" spans="1:15" s="113" customFormat="1" ht="12.75" customHeight="1">
      <c r="A4" s="958"/>
      <c r="B4" s="958" t="s">
        <v>96</v>
      </c>
      <c r="C4" s="958"/>
      <c r="D4" s="958"/>
      <c r="E4" s="959"/>
      <c r="F4" s="958"/>
      <c r="G4" s="958"/>
      <c r="H4" s="958"/>
      <c r="I4" s="387"/>
      <c r="J4" s="114"/>
      <c r="K4" s="116" t="str">
        <f>'Anexo 1 _ BAL ORC'!H3</f>
        <v>Publicação: Diário Oficial do Município nº 140</v>
      </c>
      <c r="M4" s="608"/>
      <c r="N4" s="114"/>
      <c r="O4" s="114"/>
    </row>
    <row r="5" spans="1:15" s="118" customFormat="1" ht="15.75" customHeight="1">
      <c r="A5" s="1464" t="str">
        <f>'Anexo 1 _ BAL ORC'!A4:F4</f>
        <v>Referência: JANEIRO-JUNHO/2015; BIMESTRE: MAIO-JUNHO/2015</v>
      </c>
      <c r="B5" s="1464"/>
      <c r="C5" s="1464"/>
      <c r="D5" s="1464"/>
      <c r="E5" s="1464"/>
      <c r="F5" s="1464"/>
      <c r="G5" s="1289"/>
      <c r="H5" s="1289"/>
      <c r="I5" s="115"/>
      <c r="J5" s="115"/>
      <c r="K5" s="116" t="str">
        <f>'Anexo 1 _ BAL ORC'!H4</f>
        <v>Data: 30/07/2015</v>
      </c>
      <c r="M5" s="117"/>
      <c r="N5" s="394"/>
      <c r="O5" s="395"/>
    </row>
    <row r="6" spans="1:10" ht="11.25" customHeight="1">
      <c r="A6" s="112"/>
      <c r="B6" s="112"/>
      <c r="C6" s="112"/>
      <c r="H6" s="592"/>
      <c r="J6" s="388"/>
    </row>
    <row r="7" spans="1:15" s="121" customFormat="1" ht="12.75">
      <c r="A7" s="396" t="s">
        <v>647</v>
      </c>
      <c r="B7" s="397"/>
      <c r="C7" s="397"/>
      <c r="D7" s="397"/>
      <c r="F7" s="119"/>
      <c r="G7" s="119"/>
      <c r="H7" s="119"/>
      <c r="I7" s="389"/>
      <c r="J7" s="119"/>
      <c r="K7" s="120"/>
      <c r="L7" s="120"/>
      <c r="M7" s="398" t="s">
        <v>538</v>
      </c>
      <c r="N7" s="182"/>
      <c r="O7" s="120"/>
    </row>
    <row r="8" spans="1:15" s="123" customFormat="1" ht="15.75" customHeight="1">
      <c r="A8" s="1465" t="s">
        <v>97</v>
      </c>
      <c r="B8" s="1465"/>
      <c r="C8" s="399" t="s">
        <v>256</v>
      </c>
      <c r="D8" s="400" t="s">
        <v>256</v>
      </c>
      <c r="E8" s="1456" t="s">
        <v>645</v>
      </c>
      <c r="F8" s="1457"/>
      <c r="G8" s="1458"/>
      <c r="H8" s="1456" t="s">
        <v>940</v>
      </c>
      <c r="I8" s="1447" t="s">
        <v>257</v>
      </c>
      <c r="J8" s="1447"/>
      <c r="K8" s="1448"/>
      <c r="L8" s="1449" t="s">
        <v>298</v>
      </c>
      <c r="M8" s="1452" t="s">
        <v>239</v>
      </c>
      <c r="N8" s="401"/>
      <c r="O8" s="129"/>
    </row>
    <row r="9" spans="1:15" s="123" customFormat="1" ht="16.5" customHeight="1">
      <c r="A9" s="1465"/>
      <c r="B9" s="1465"/>
      <c r="C9" s="402"/>
      <c r="D9" s="403"/>
      <c r="E9" s="1459"/>
      <c r="F9" s="1460"/>
      <c r="G9" s="1461"/>
      <c r="H9" s="1462"/>
      <c r="I9" s="1447"/>
      <c r="J9" s="1447"/>
      <c r="K9" s="1448"/>
      <c r="L9" s="1450"/>
      <c r="M9" s="1452"/>
      <c r="N9" s="401"/>
      <c r="O9" s="129"/>
    </row>
    <row r="10" spans="1:15" s="123" customFormat="1" ht="14.25" customHeight="1">
      <c r="A10" s="1465"/>
      <c r="B10" s="1465"/>
      <c r="C10" s="402" t="s">
        <v>258</v>
      </c>
      <c r="D10" s="403" t="s">
        <v>259</v>
      </c>
      <c r="E10" s="872" t="s">
        <v>102</v>
      </c>
      <c r="F10" s="407" t="s">
        <v>103</v>
      </c>
      <c r="G10" s="407" t="s">
        <v>99</v>
      </c>
      <c r="H10" s="1463"/>
      <c r="I10" s="872" t="s">
        <v>102</v>
      </c>
      <c r="J10" s="407" t="s">
        <v>103</v>
      </c>
      <c r="K10" s="407" t="s">
        <v>99</v>
      </c>
      <c r="L10" s="1451"/>
      <c r="M10" s="1452"/>
      <c r="N10" s="129"/>
      <c r="O10" s="129"/>
    </row>
    <row r="11" spans="1:15" s="123" customFormat="1" ht="15" customHeight="1">
      <c r="A11" s="404"/>
      <c r="B11" s="405"/>
      <c r="C11" s="405"/>
      <c r="D11" s="406" t="s">
        <v>105</v>
      </c>
      <c r="E11" s="390"/>
      <c r="F11" s="124" t="s">
        <v>106</v>
      </c>
      <c r="G11" s="124" t="s">
        <v>104</v>
      </c>
      <c r="H11" s="1463"/>
      <c r="I11" s="390"/>
      <c r="J11" s="124" t="s">
        <v>426</v>
      </c>
      <c r="K11" s="1306" t="s">
        <v>941</v>
      </c>
      <c r="L11" s="1306" t="s">
        <v>942</v>
      </c>
      <c r="M11" s="1307" t="s">
        <v>943</v>
      </c>
      <c r="N11" s="129"/>
      <c r="O11" s="129"/>
    </row>
    <row r="12" spans="1:15" ht="15.75" customHeight="1">
      <c r="A12" s="1453" t="s">
        <v>108</v>
      </c>
      <c r="B12" s="1453"/>
      <c r="C12" s="125">
        <f>C13+C17+C20+C31+C35+C41+C46+C57+C62+C70+C75+C91+C98+C100+C103+C108+C113+C117+C119+C123+C127+C131</f>
        <v>2701778599</v>
      </c>
      <c r="D12" s="125">
        <f aca="true" t="shared" si="0" ref="D12:L12">D13+D17+D20+D31+D35+D41+D46+D57+D62+D70+D75+D91+D98+D100+D103+D108+D113+D117+D119+D123+D127+D131</f>
        <v>2660480193.94</v>
      </c>
      <c r="E12" s="125">
        <f t="shared" si="0"/>
        <v>223015612.56</v>
      </c>
      <c r="F12" s="125">
        <f t="shared" si="0"/>
        <v>1741066229.2299998</v>
      </c>
      <c r="G12" s="1324">
        <f>F12/F137*100</f>
        <v>96.20068275746254</v>
      </c>
      <c r="H12" s="125">
        <f t="shared" si="0"/>
        <v>919413964.71</v>
      </c>
      <c r="I12" s="1305">
        <f t="shared" si="0"/>
        <v>370704050.49</v>
      </c>
      <c r="J12" s="125">
        <f t="shared" si="0"/>
        <v>1042896088.0899999</v>
      </c>
      <c r="K12" s="125">
        <f>J12/J137*100</f>
        <v>97.79847399573353</v>
      </c>
      <c r="L12" s="125">
        <f t="shared" si="0"/>
        <v>1617584105.8499997</v>
      </c>
      <c r="M12" s="125">
        <f>M13+M17+M20+M31+M35+M41+M46+M57+M62+M70+M75+M91+M98+M100+M103+M108+M113+M117+M119+M123+M127+M131</f>
        <v>0</v>
      </c>
      <c r="N12" s="128"/>
      <c r="O12" s="415"/>
    </row>
    <row r="13" spans="1:14" s="129" customFormat="1" ht="18" customHeight="1">
      <c r="A13" s="1466" t="s">
        <v>109</v>
      </c>
      <c r="B13" s="1466"/>
      <c r="C13" s="126">
        <f>C16+C14+C15</f>
        <v>83759451</v>
      </c>
      <c r="D13" s="126">
        <f>D14+D15+D16</f>
        <v>83759451</v>
      </c>
      <c r="E13" s="126">
        <f>E16+E14+E15</f>
        <v>0</v>
      </c>
      <c r="F13" s="140">
        <f>F16+F14+F15</f>
        <v>0</v>
      </c>
      <c r="G13" s="1314">
        <f>F13/F137*100</f>
        <v>0</v>
      </c>
      <c r="H13" s="427">
        <f>H16+H14+H15</f>
        <v>83759451</v>
      </c>
      <c r="I13" s="126">
        <f>I16+I14+I15</f>
        <v>0</v>
      </c>
      <c r="J13" s="126">
        <f>J16+J14+J15</f>
        <v>0</v>
      </c>
      <c r="K13" s="1314">
        <f>J13/J137*100</f>
        <v>0</v>
      </c>
      <c r="L13" s="126">
        <f>L16+L14+L15</f>
        <v>83759451</v>
      </c>
      <c r="M13" s="126">
        <f>M16+M14+M15</f>
        <v>0</v>
      </c>
      <c r="N13" s="128"/>
    </row>
    <row r="14" spans="1:15" s="112" customFormat="1" ht="18" customHeight="1">
      <c r="A14" s="1455" t="s">
        <v>110</v>
      </c>
      <c r="B14" s="1455"/>
      <c r="C14" s="130">
        <v>83759451</v>
      </c>
      <c r="D14" s="130">
        <f>C14</f>
        <v>83759451</v>
      </c>
      <c r="E14" s="612">
        <f>F14-'[18]Anexo 2 _ DP FUNC'!F14</f>
        <v>0</v>
      </c>
      <c r="F14" s="509"/>
      <c r="G14" s="1315">
        <f>F14/F137*100</f>
        <v>0</v>
      </c>
      <c r="H14" s="1318">
        <f>D14-F14</f>
        <v>83759451</v>
      </c>
      <c r="I14" s="1323">
        <f>J14-'[18]Anexo 2 _ DP FUNC'!J14</f>
        <v>0</v>
      </c>
      <c r="J14" s="504"/>
      <c r="K14" s="1315">
        <f>J14/J137*100</f>
        <v>0</v>
      </c>
      <c r="L14" s="130">
        <f>D14-J14</f>
        <v>83759451</v>
      </c>
      <c r="M14" s="425"/>
      <c r="N14" s="128"/>
      <c r="O14" s="415"/>
    </row>
    <row r="15" spans="1:14" s="112" customFormat="1" ht="18" customHeight="1">
      <c r="A15" s="1455" t="s">
        <v>111</v>
      </c>
      <c r="B15" s="1455"/>
      <c r="C15" s="130"/>
      <c r="D15" s="130"/>
      <c r="E15" s="612"/>
      <c r="F15" s="509"/>
      <c r="G15" s="1315">
        <f>F15/F137*100</f>
        <v>0</v>
      </c>
      <c r="H15" s="503">
        <f>D15-F15</f>
        <v>0</v>
      </c>
      <c r="I15" s="612"/>
      <c r="J15" s="504"/>
      <c r="K15" s="1315">
        <f>J15/J137*100</f>
        <v>0</v>
      </c>
      <c r="L15" s="130">
        <f>D15-J15</f>
        <v>0</v>
      </c>
      <c r="M15" s="425"/>
      <c r="N15" s="128"/>
    </row>
    <row r="16" spans="1:14" s="112" customFormat="1" ht="18" customHeight="1">
      <c r="A16" s="1454" t="s">
        <v>112</v>
      </c>
      <c r="B16" s="1454"/>
      <c r="C16" s="133"/>
      <c r="D16" s="130"/>
      <c r="E16" s="612"/>
      <c r="F16" s="1320"/>
      <c r="G16" s="1316">
        <f>F16/F137*100</f>
        <v>0</v>
      </c>
      <c r="H16" s="503">
        <f>D16-F16</f>
        <v>0</v>
      </c>
      <c r="I16" s="612"/>
      <c r="J16" s="505"/>
      <c r="K16" s="1316">
        <f>J16/J137*100</f>
        <v>0</v>
      </c>
      <c r="L16" s="130">
        <f>D16-J16</f>
        <v>0</v>
      </c>
      <c r="M16" s="929"/>
      <c r="N16" s="128"/>
    </row>
    <row r="17" spans="1:15" s="123" customFormat="1" ht="18" customHeight="1">
      <c r="A17" s="1466" t="s">
        <v>113</v>
      </c>
      <c r="B17" s="1466"/>
      <c r="C17" s="126">
        <f>C19+C18</f>
        <v>1514406</v>
      </c>
      <c r="D17" s="126">
        <f>D18+D19</f>
        <v>1514406</v>
      </c>
      <c r="E17" s="1346">
        <f>E18+E19</f>
        <v>228434.43000000005</v>
      </c>
      <c r="F17" s="140">
        <f>F19+F18</f>
        <v>801155.43</v>
      </c>
      <c r="G17" s="1314">
        <f>F17/F137*100</f>
        <v>0.04426695439089302</v>
      </c>
      <c r="H17" s="1325">
        <f>H19+H18</f>
        <v>713250.57</v>
      </c>
      <c r="I17" s="427">
        <f>I18+I19</f>
        <v>177492.3</v>
      </c>
      <c r="J17" s="126">
        <f>J19+J18</f>
        <v>511425.42</v>
      </c>
      <c r="K17" s="1314">
        <f>J17/J137*100</f>
        <v>0.047959356842760315</v>
      </c>
      <c r="L17" s="126">
        <f>L19+L18</f>
        <v>1002980.5800000001</v>
      </c>
      <c r="M17" s="928">
        <f>M18+M19</f>
        <v>0</v>
      </c>
      <c r="N17" s="408"/>
      <c r="O17" s="129"/>
    </row>
    <row r="18" spans="1:14" ht="18" customHeight="1">
      <c r="A18" s="1455" t="s">
        <v>114</v>
      </c>
      <c r="B18" s="1455"/>
      <c r="C18" s="141">
        <v>1514406</v>
      </c>
      <c r="D18" s="546">
        <f>C18</f>
        <v>1514406</v>
      </c>
      <c r="E18" s="612">
        <f>F18-'[18]Anexo 2 _ DP FUNC'!F18</f>
        <v>228434.43000000005</v>
      </c>
      <c r="F18" s="509">
        <v>801155.43</v>
      </c>
      <c r="G18" s="1315">
        <f>F18/F137*100</f>
        <v>0.04426695439089302</v>
      </c>
      <c r="H18" s="1318">
        <f>D18-F18</f>
        <v>713250.57</v>
      </c>
      <c r="I18" s="1323">
        <f>J18-'[18]Anexo 2 _ DP FUNC'!J18</f>
        <v>177492.3</v>
      </c>
      <c r="J18" s="504">
        <v>511425.42</v>
      </c>
      <c r="K18" s="1315">
        <f>J18/J137*100</f>
        <v>0.047959356842760315</v>
      </c>
      <c r="L18" s="130">
        <f>D18-J18</f>
        <v>1002980.5800000001</v>
      </c>
      <c r="M18" s="425"/>
      <c r="N18" s="128"/>
    </row>
    <row r="19" spans="1:14" ht="18" customHeight="1">
      <c r="A19" s="1454" t="s">
        <v>115</v>
      </c>
      <c r="B19" s="1454"/>
      <c r="C19" s="130"/>
      <c r="D19" s="133"/>
      <c r="E19" s="612">
        <f>F19-'[18]Anexo 2 _ DP FUNC'!F19</f>
        <v>0</v>
      </c>
      <c r="F19" s="517"/>
      <c r="G19" s="1316">
        <f>F19/F137*100</f>
        <v>0</v>
      </c>
      <c r="H19" s="1319">
        <f>D19-F19</f>
        <v>0</v>
      </c>
      <c r="I19" s="1323">
        <f>J19-'[17]Anexo 2 _ DP FUNC'!H19</f>
        <v>0</v>
      </c>
      <c r="J19" s="505"/>
      <c r="K19" s="1316">
        <f>J19/J137*100</f>
        <v>0</v>
      </c>
      <c r="L19" s="1074">
        <f>D19-J19</f>
        <v>0</v>
      </c>
      <c r="M19" s="929"/>
      <c r="N19" s="128"/>
    </row>
    <row r="20" spans="1:15" s="123" customFormat="1" ht="18" customHeight="1">
      <c r="A20" s="1467" t="s">
        <v>116</v>
      </c>
      <c r="B20" s="1467"/>
      <c r="C20" s="126">
        <f aca="true" t="shared" si="1" ref="C20:L20">SUM(C21:C30)</f>
        <v>396581035</v>
      </c>
      <c r="D20" s="127">
        <f t="shared" si="1"/>
        <v>365719160.73</v>
      </c>
      <c r="E20" s="126">
        <f>SUM(E21:E30)</f>
        <v>7153303.019999996</v>
      </c>
      <c r="F20" s="127">
        <f t="shared" si="1"/>
        <v>293147547.19</v>
      </c>
      <c r="G20" s="1314">
        <f>F20/F137*100</f>
        <v>16.197542468459446</v>
      </c>
      <c r="H20" s="1335">
        <f t="shared" si="1"/>
        <v>72571613.54</v>
      </c>
      <c r="I20" s="1333">
        <f>SUM(I21:I30)</f>
        <v>51748118.69</v>
      </c>
      <c r="J20" s="127">
        <f t="shared" si="1"/>
        <v>148336336.48</v>
      </c>
      <c r="K20" s="1314">
        <f>J20/J137*100</f>
        <v>13.910367016938821</v>
      </c>
      <c r="L20" s="127">
        <f t="shared" si="1"/>
        <v>217382824.25</v>
      </c>
      <c r="M20" s="928">
        <f>SUM(M21:M30)</f>
        <v>0</v>
      </c>
      <c r="N20" s="408"/>
      <c r="O20" s="129"/>
    </row>
    <row r="21" spans="1:15" ht="18" customHeight="1">
      <c r="A21" s="1455" t="s">
        <v>117</v>
      </c>
      <c r="B21" s="1455"/>
      <c r="C21" s="130">
        <v>46331063</v>
      </c>
      <c r="D21" s="131">
        <v>46367063</v>
      </c>
      <c r="E21" s="612">
        <f>F21-'[18]Anexo 2 _ DP FUNC'!F21</f>
        <v>1493599.6400000006</v>
      </c>
      <c r="F21" s="612">
        <v>27363092.53</v>
      </c>
      <c r="G21" s="1315">
        <f>F21/F137*100</f>
        <v>1.511917317990712</v>
      </c>
      <c r="H21" s="1318">
        <f aca="true" t="shared" si="2" ref="H21:H30">D21-F21</f>
        <v>19003970.47</v>
      </c>
      <c r="I21" s="771">
        <f>J21-'[18]Anexo 2 _ DP FUNC'!J21</f>
        <v>5677273.369999999</v>
      </c>
      <c r="J21" s="135">
        <v>12180784.54</v>
      </c>
      <c r="K21" s="1315">
        <f>J21/J137*100</f>
        <v>1.1422635041852984</v>
      </c>
      <c r="L21" s="130">
        <f aca="true" t="shared" si="3" ref="L21:L30">D21-J21</f>
        <v>34186278.46</v>
      </c>
      <c r="M21" s="425"/>
      <c r="N21" s="128"/>
      <c r="O21" s="592"/>
    </row>
    <row r="22" spans="1:15" s="710" customFormat="1" ht="18" customHeight="1">
      <c r="A22" s="1468" t="s">
        <v>111</v>
      </c>
      <c r="B22" s="1468"/>
      <c r="C22" s="704">
        <v>306350947</v>
      </c>
      <c r="D22" s="705">
        <v>280493008.5</v>
      </c>
      <c r="E22" s="612">
        <f>F22-'[18]Anexo 2 _ DP FUNC'!F22</f>
        <v>4253354.629999995</v>
      </c>
      <c r="F22" s="1311">
        <v>237934555.94</v>
      </c>
      <c r="G22" s="1315">
        <f>F22/F137*100</f>
        <v>13.146809896568215</v>
      </c>
      <c r="H22" s="1318">
        <f t="shared" si="2"/>
        <v>42558452.56</v>
      </c>
      <c r="I22" s="771">
        <f>J22-'[18]Anexo 2 _ DP FUNC'!J22</f>
        <v>41132089.28</v>
      </c>
      <c r="J22" s="706">
        <v>120700512.25</v>
      </c>
      <c r="K22" s="1315">
        <f>J22/J137*100</f>
        <v>11.318793927180453</v>
      </c>
      <c r="L22" s="130">
        <f t="shared" si="3"/>
        <v>159792496.25</v>
      </c>
      <c r="M22" s="930"/>
      <c r="N22" s="707"/>
      <c r="O22" s="708"/>
    </row>
    <row r="23" spans="1:14" ht="18" customHeight="1">
      <c r="A23" s="1455" t="s">
        <v>118</v>
      </c>
      <c r="B23" s="1455"/>
      <c r="C23" s="130">
        <v>3620000</v>
      </c>
      <c r="D23" s="131">
        <f>C23</f>
        <v>3620000</v>
      </c>
      <c r="E23" s="612">
        <f>F23-'[18]Anexo 2 _ DP FUNC'!F23</f>
        <v>807126.98</v>
      </c>
      <c r="F23" s="612">
        <v>2080275.3</v>
      </c>
      <c r="G23" s="1315">
        <f>F23/F137*100</f>
        <v>0.11494330360539563</v>
      </c>
      <c r="H23" s="1318">
        <f t="shared" si="2"/>
        <v>1539724.7</v>
      </c>
      <c r="I23" s="771">
        <f>J23-'[18]Anexo 2 _ DP FUNC'!J23</f>
        <v>828668.7999999999</v>
      </c>
      <c r="J23" s="135">
        <v>1818170.9</v>
      </c>
      <c r="K23" s="1315">
        <f>J23/J137*100</f>
        <v>0.17050053357579031</v>
      </c>
      <c r="L23" s="130">
        <f t="shared" si="3"/>
        <v>1801829.1</v>
      </c>
      <c r="M23" s="425"/>
      <c r="N23" s="128"/>
    </row>
    <row r="24" spans="1:14" ht="18" customHeight="1">
      <c r="A24" s="1455" t="s">
        <v>119</v>
      </c>
      <c r="B24" s="1455"/>
      <c r="C24" s="130"/>
      <c r="D24" s="131"/>
      <c r="E24" s="612">
        <f>F24-'[18]Anexo 2 _ DP FUNC'!F24</f>
        <v>0</v>
      </c>
      <c r="F24" s="1311"/>
      <c r="G24" s="1315">
        <f>F24/F137*100</f>
        <v>0</v>
      </c>
      <c r="H24" s="1318">
        <f t="shared" si="2"/>
        <v>0</v>
      </c>
      <c r="I24" s="771">
        <f>J24-'[18]Anexo 2 _ DP FUNC'!J24</f>
        <v>0</v>
      </c>
      <c r="J24" s="135"/>
      <c r="K24" s="1315">
        <f>J24/J137*100</f>
        <v>0</v>
      </c>
      <c r="L24" s="130">
        <f t="shared" si="3"/>
        <v>0</v>
      </c>
      <c r="M24" s="425"/>
      <c r="N24" s="128"/>
    </row>
    <row r="25" spans="1:14" ht="18" customHeight="1">
      <c r="A25" s="380" t="s">
        <v>120</v>
      </c>
      <c r="B25" s="380"/>
      <c r="C25" s="130">
        <v>11493058</v>
      </c>
      <c r="D25" s="131">
        <f>C25</f>
        <v>11493058</v>
      </c>
      <c r="E25" s="612">
        <f>F25-'[18]Anexo 2 _ DP FUNC'!F25</f>
        <v>1218612.1099999994</v>
      </c>
      <c r="F25" s="1311">
        <v>6845735.81</v>
      </c>
      <c r="G25" s="1315">
        <f>F25/F137*100</f>
        <v>0.3782535367367766</v>
      </c>
      <c r="H25" s="1318">
        <f t="shared" si="2"/>
        <v>4647322.19</v>
      </c>
      <c r="I25" s="771">
        <f>J25-'[18]Anexo 2 _ DP FUNC'!J25</f>
        <v>1136563.37</v>
      </c>
      <c r="J25" s="135">
        <v>4399079.96</v>
      </c>
      <c r="K25" s="1315">
        <f>J25/J137*100</f>
        <v>0.41252749145999773</v>
      </c>
      <c r="L25" s="130">
        <f t="shared" si="3"/>
        <v>7093978.04</v>
      </c>
      <c r="M25" s="425"/>
      <c r="N25" s="128"/>
    </row>
    <row r="26" spans="1:14" ht="18" customHeight="1">
      <c r="A26" s="380" t="s">
        <v>121</v>
      </c>
      <c r="B26" s="380"/>
      <c r="C26" s="130">
        <v>1993902</v>
      </c>
      <c r="D26" s="131">
        <v>2613599.73</v>
      </c>
      <c r="E26" s="612">
        <f>F26-'[18]Anexo 2 _ DP FUNC'!F26</f>
        <v>5500</v>
      </c>
      <c r="F26" s="1311">
        <v>13500</v>
      </c>
      <c r="G26" s="1315">
        <f>F26/F137*100</f>
        <v>0.0007459275215510375</v>
      </c>
      <c r="H26" s="1318">
        <f t="shared" si="2"/>
        <v>2600099.73</v>
      </c>
      <c r="I26" s="771">
        <f>J26-'[18]Anexo 2 _ DP FUNC'!J26</f>
        <v>0</v>
      </c>
      <c r="J26" s="135">
        <v>8000</v>
      </c>
      <c r="K26" s="1315">
        <f>J26/J137*100</f>
        <v>0.0007502068527256281</v>
      </c>
      <c r="L26" s="130">
        <f t="shared" si="3"/>
        <v>2605599.73</v>
      </c>
      <c r="M26" s="425"/>
      <c r="N26" s="128"/>
    </row>
    <row r="27" spans="1:14" ht="18" customHeight="1">
      <c r="A27" s="380" t="s">
        <v>122</v>
      </c>
      <c r="B27" s="380"/>
      <c r="C27" s="130">
        <v>3992000</v>
      </c>
      <c r="D27" s="131">
        <v>5262366.5</v>
      </c>
      <c r="E27" s="612">
        <f>F27-'[18]Anexo 2 _ DP FUNC'!F27</f>
        <v>-638728.5</v>
      </c>
      <c r="F27" s="1311">
        <v>3881585.12</v>
      </c>
      <c r="G27" s="1315">
        <f>F27/F137*100</f>
        <v>0.2144726791297027</v>
      </c>
      <c r="H27" s="1318">
        <f t="shared" si="2"/>
        <v>1380781.38</v>
      </c>
      <c r="I27" s="771">
        <f>J27-'[18]Anexo 2 _ DP FUNC'!J27</f>
        <v>598809.74</v>
      </c>
      <c r="J27" s="135">
        <v>1864274.16</v>
      </c>
      <c r="K27" s="1315">
        <f>J27/J137*100</f>
        <v>0.17482390627391425</v>
      </c>
      <c r="L27" s="130">
        <f t="shared" si="3"/>
        <v>3398092.34</v>
      </c>
      <c r="M27" s="425"/>
      <c r="N27" s="128"/>
    </row>
    <row r="28" spans="1:14" ht="18" customHeight="1">
      <c r="A28" s="380" t="s">
        <v>123</v>
      </c>
      <c r="B28" s="380"/>
      <c r="C28" s="130">
        <v>22780065</v>
      </c>
      <c r="D28" s="131">
        <v>15850065</v>
      </c>
      <c r="E28" s="612">
        <f>F28-'[18]Anexo 2 _ DP FUNC'!F28</f>
        <v>13838.160000000149</v>
      </c>
      <c r="F28" s="1311">
        <v>15028802.49</v>
      </c>
      <c r="G28" s="1315">
        <f>F28/F137*100</f>
        <v>0.8303998069070935</v>
      </c>
      <c r="H28" s="1318">
        <f t="shared" si="2"/>
        <v>821262.5099999998</v>
      </c>
      <c r="I28" s="771">
        <f>J28-'[18]Anexo 2 _ DP FUNC'!J28</f>
        <v>2374714.13</v>
      </c>
      <c r="J28" s="135">
        <v>7365514.67</v>
      </c>
      <c r="K28" s="1315">
        <f>J28/J137*100</f>
        <v>0.6907074474106428</v>
      </c>
      <c r="L28" s="130">
        <f t="shared" si="3"/>
        <v>8484550.33</v>
      </c>
      <c r="M28" s="425"/>
      <c r="N28" s="128"/>
    </row>
    <row r="29" spans="1:14" ht="18" customHeight="1">
      <c r="A29" s="380" t="s">
        <v>552</v>
      </c>
      <c r="B29" s="380"/>
      <c r="C29" s="130">
        <v>20000</v>
      </c>
      <c r="D29" s="131">
        <f>C29</f>
        <v>20000</v>
      </c>
      <c r="E29" s="612">
        <f>F29-'[18]Anexo 2 _ DP FUNC'!F29</f>
        <v>0</v>
      </c>
      <c r="F29" s="1311">
        <v>0</v>
      </c>
      <c r="G29" s="1315">
        <f>F29/F137*100</f>
        <v>0</v>
      </c>
      <c r="H29" s="1318">
        <f t="shared" si="2"/>
        <v>20000</v>
      </c>
      <c r="I29" s="771">
        <f>J29-'[18]Anexo 2 _ DP FUNC'!J29</f>
        <v>0</v>
      </c>
      <c r="J29" s="135">
        <v>0</v>
      </c>
      <c r="K29" s="1315">
        <f>J29/J137*100</f>
        <v>0</v>
      </c>
      <c r="L29" s="130">
        <f t="shared" si="3"/>
        <v>20000</v>
      </c>
      <c r="M29" s="425"/>
      <c r="N29" s="128"/>
    </row>
    <row r="30" spans="1:15" s="138" customFormat="1" ht="18" customHeight="1">
      <c r="A30" s="132" t="s">
        <v>810</v>
      </c>
      <c r="B30" s="132"/>
      <c r="C30" s="133"/>
      <c r="D30" s="133"/>
      <c r="E30" s="612">
        <f>F30-'[18]Anexo 2 _ DP FUNC'!F30</f>
        <v>0</v>
      </c>
      <c r="F30" s="1311"/>
      <c r="G30" s="1316">
        <f>F30/F137*100</f>
        <v>0</v>
      </c>
      <c r="H30" s="1318">
        <f t="shared" si="2"/>
        <v>0</v>
      </c>
      <c r="I30" s="769">
        <f>J30-'[18]Anexo 2 _ DP FUNC'!J30</f>
        <v>0</v>
      </c>
      <c r="J30" s="135"/>
      <c r="K30" s="1316">
        <f>J30/J137*100</f>
        <v>0</v>
      </c>
      <c r="L30" s="1074">
        <f t="shared" si="3"/>
        <v>0</v>
      </c>
      <c r="M30" s="929"/>
      <c r="N30" s="410"/>
      <c r="O30" s="223"/>
    </row>
    <row r="31" spans="1:15" s="123" customFormat="1" ht="18" customHeight="1">
      <c r="A31" s="1467" t="s">
        <v>124</v>
      </c>
      <c r="B31" s="1467"/>
      <c r="C31" s="139">
        <f aca="true" t="shared" si="4" ref="C31:H31">C34+C32+C33</f>
        <v>1110719</v>
      </c>
      <c r="D31" s="146">
        <f t="shared" si="4"/>
        <v>1110719</v>
      </c>
      <c r="E31" s="1050">
        <f t="shared" si="4"/>
        <v>470278.16000000003</v>
      </c>
      <c r="F31" s="514">
        <f t="shared" si="4"/>
        <v>680257.88</v>
      </c>
      <c r="G31" s="1314">
        <f>F31/F137*100</f>
        <v>0.03758689440325652</v>
      </c>
      <c r="H31" s="899">
        <f t="shared" si="4"/>
        <v>430461.12</v>
      </c>
      <c r="I31" s="1303">
        <f>I34+I32+I33</f>
        <v>112266.69999999998</v>
      </c>
      <c r="J31" s="1019">
        <f>J32+J33+J34</f>
        <v>314446.42</v>
      </c>
      <c r="K31" s="1314">
        <f>J31/J137*100</f>
        <v>0.029487482387380123</v>
      </c>
      <c r="L31" s="928">
        <f>L32+L33+L34</f>
        <v>796272.5800000001</v>
      </c>
      <c r="M31" s="928">
        <f>M32+M33+M34</f>
        <v>0</v>
      </c>
      <c r="N31" s="408"/>
      <c r="O31" s="129"/>
    </row>
    <row r="32" spans="1:14" ht="18" customHeight="1">
      <c r="A32" s="1455" t="s">
        <v>111</v>
      </c>
      <c r="B32" s="1455"/>
      <c r="C32" s="130"/>
      <c r="D32" s="141"/>
      <c r="E32" s="612"/>
      <c r="F32" s="1311"/>
      <c r="G32" s="1315">
        <f>F32/F137*100</f>
        <v>0</v>
      </c>
      <c r="H32" s="1318">
        <f>D32-F32</f>
        <v>0</v>
      </c>
      <c r="I32" s="1323">
        <f>J32-'[18]Anexo 2 _ DP FUNC'!J32</f>
        <v>0</v>
      </c>
      <c r="J32" s="425"/>
      <c r="K32" s="1315">
        <f>J32/J137*100</f>
        <v>0</v>
      </c>
      <c r="L32" s="130">
        <f>D32-J32</f>
        <v>0</v>
      </c>
      <c r="M32" s="425"/>
      <c r="N32" s="128"/>
    </row>
    <row r="33" spans="1:14" ht="18" customHeight="1">
      <c r="A33" s="1455" t="s">
        <v>125</v>
      </c>
      <c r="B33" s="1455"/>
      <c r="C33" s="130">
        <v>1110719</v>
      </c>
      <c r="D33" s="141">
        <f>C33</f>
        <v>1110719</v>
      </c>
      <c r="E33" s="612">
        <f>F33-'[18]Anexo 2 _ DP FUNC'!F33</f>
        <v>470278.16000000003</v>
      </c>
      <c r="F33" s="1311">
        <v>680257.88</v>
      </c>
      <c r="G33" s="1315">
        <f>F33/F137*100</f>
        <v>0.03758689440325652</v>
      </c>
      <c r="H33" s="1318">
        <f>D33-F33</f>
        <v>430461.12</v>
      </c>
      <c r="I33" s="1323">
        <f>J33-'[18]Anexo 2 _ DP FUNC'!J33</f>
        <v>112266.69999999998</v>
      </c>
      <c r="J33" s="425">
        <v>314446.42</v>
      </c>
      <c r="K33" s="1315">
        <f>J33/J137*100</f>
        <v>0.029487482387380123</v>
      </c>
      <c r="L33" s="130">
        <f>D33-J33</f>
        <v>796272.5800000001</v>
      </c>
      <c r="M33" s="425"/>
      <c r="N33" s="128"/>
    </row>
    <row r="34" spans="1:14" ht="18" customHeight="1">
      <c r="A34" s="1454" t="s">
        <v>126</v>
      </c>
      <c r="B34" s="1454"/>
      <c r="C34" s="133"/>
      <c r="D34" s="141"/>
      <c r="E34" s="612"/>
      <c r="F34" s="1312"/>
      <c r="G34" s="1316">
        <f>F34/F137*100</f>
        <v>0</v>
      </c>
      <c r="H34" s="1319">
        <f>D34-F34</f>
        <v>0</v>
      </c>
      <c r="I34" s="1323">
        <f>J34-'[18]Anexo 2 _ DP FUNC'!J34</f>
        <v>0</v>
      </c>
      <c r="J34" s="426"/>
      <c r="K34" s="1316">
        <f>J34/J137*100</f>
        <v>0</v>
      </c>
      <c r="L34" s="1074">
        <f>D34-J34</f>
        <v>0</v>
      </c>
      <c r="M34" s="425"/>
      <c r="N34" s="128"/>
    </row>
    <row r="35" spans="1:15" s="123" customFormat="1" ht="18" customHeight="1">
      <c r="A35" s="1467" t="s">
        <v>127</v>
      </c>
      <c r="B35" s="1467"/>
      <c r="C35" s="140">
        <f aca="true" t="shared" si="5" ref="C35:L35">C36+C37+C38+C39+C40</f>
        <v>40694639</v>
      </c>
      <c r="D35" s="140">
        <f t="shared" si="5"/>
        <v>40694639</v>
      </c>
      <c r="E35" s="507">
        <f t="shared" si="5"/>
        <v>2271195.7200000007</v>
      </c>
      <c r="F35" s="508">
        <f t="shared" si="5"/>
        <v>26557385.740000002</v>
      </c>
      <c r="G35" s="1314">
        <f>F35/F137*100</f>
        <v>1.4673988832528198</v>
      </c>
      <c r="H35" s="1336">
        <f t="shared" si="5"/>
        <v>14137253.26</v>
      </c>
      <c r="I35" s="1334">
        <f>I36+I37+I38+I39+I40</f>
        <v>4597186.5600000005</v>
      </c>
      <c r="J35" s="146">
        <f t="shared" si="5"/>
        <v>13401399.11</v>
      </c>
      <c r="K35" s="1314">
        <f>J35/J137*100</f>
        <v>1.2567276810541417</v>
      </c>
      <c r="L35" s="508">
        <f t="shared" si="5"/>
        <v>27293239.89</v>
      </c>
      <c r="M35" s="931">
        <f>M36+M37+M38+M39+M40</f>
        <v>0</v>
      </c>
      <c r="N35" s="408"/>
      <c r="O35" s="129"/>
    </row>
    <row r="36" spans="1:14" ht="18" customHeight="1">
      <c r="A36" s="1455" t="s">
        <v>111</v>
      </c>
      <c r="B36" s="1455"/>
      <c r="C36" s="130">
        <v>15590231</v>
      </c>
      <c r="D36" s="130">
        <f>C36</f>
        <v>15590231</v>
      </c>
      <c r="E36" s="612">
        <f>F36-'[18]Anexo 2 _ DP FUNC'!F36</f>
        <v>66000</v>
      </c>
      <c r="F36" s="1311">
        <v>14212991.61</v>
      </c>
      <c r="G36" s="1315">
        <f>F36/F137*100</f>
        <v>0.7853230818868882</v>
      </c>
      <c r="H36" s="1318">
        <f>D36-F36</f>
        <v>1377239.3900000006</v>
      </c>
      <c r="I36" s="1323">
        <f>J36-'[18]Anexo 2 _ DP FUNC'!J36</f>
        <v>2393097.5700000003</v>
      </c>
      <c r="J36" s="141">
        <v>7319012.95</v>
      </c>
      <c r="K36" s="1315">
        <f>J36/J137*100</f>
        <v>0.6863467087847018</v>
      </c>
      <c r="L36" s="130">
        <f>D36-J36</f>
        <v>8271218.05</v>
      </c>
      <c r="M36" s="425"/>
      <c r="N36" s="128"/>
    </row>
    <row r="37" spans="1:14" ht="18" customHeight="1">
      <c r="A37" s="1455" t="s">
        <v>128</v>
      </c>
      <c r="B37" s="1455"/>
      <c r="C37" s="130"/>
      <c r="D37" s="130"/>
      <c r="E37" s="612">
        <f>F37-'[18]Anexo 2 _ DP FUNC'!F37</f>
        <v>0</v>
      </c>
      <c r="F37" s="1311"/>
      <c r="G37" s="1315">
        <f>F37/F137*100</f>
        <v>0</v>
      </c>
      <c r="H37" s="1318">
        <f>D37-F37</f>
        <v>0</v>
      </c>
      <c r="I37" s="1323">
        <f>J37-'[18]Anexo 2 _ DP FUNC'!J37</f>
        <v>0</v>
      </c>
      <c r="J37" s="141"/>
      <c r="K37" s="1315">
        <f>J37/J137*100</f>
        <v>0</v>
      </c>
      <c r="L37" s="130">
        <f>D37-J37</f>
        <v>0</v>
      </c>
      <c r="M37" s="425"/>
      <c r="N37" s="128"/>
    </row>
    <row r="38" spans="1:14" ht="18" customHeight="1">
      <c r="A38" s="1455" t="s">
        <v>129</v>
      </c>
      <c r="B38" s="1455"/>
      <c r="C38" s="130"/>
      <c r="D38" s="130"/>
      <c r="E38" s="612">
        <f>F38-'[18]Anexo 2 _ DP FUNC'!F38</f>
        <v>0</v>
      </c>
      <c r="F38" s="1311"/>
      <c r="G38" s="1315">
        <f>F38/F137*100</f>
        <v>0</v>
      </c>
      <c r="H38" s="1318">
        <f>D38-F38</f>
        <v>0</v>
      </c>
      <c r="I38" s="1323">
        <f>J38-'[18]Anexo 2 _ DP FUNC'!J38</f>
        <v>0</v>
      </c>
      <c r="J38" s="141"/>
      <c r="K38" s="1315">
        <f>J38/J137*100</f>
        <v>0</v>
      </c>
      <c r="L38" s="130">
        <f>D38-J38</f>
        <v>0</v>
      </c>
      <c r="M38" s="425"/>
      <c r="N38" s="128"/>
    </row>
    <row r="39" spans="1:14" ht="18" customHeight="1">
      <c r="A39" s="1455" t="s">
        <v>811</v>
      </c>
      <c r="B39" s="1455"/>
      <c r="C39" s="130">
        <v>5314772</v>
      </c>
      <c r="D39" s="130">
        <f>C39</f>
        <v>5314772</v>
      </c>
      <c r="E39" s="612">
        <f>F39-'[18]Anexo 2 _ DP FUNC'!F39</f>
        <v>25836</v>
      </c>
      <c r="F39" s="1311">
        <v>336457</v>
      </c>
      <c r="G39" s="1315">
        <f>F39/F137*100</f>
        <v>0.01859055823099981</v>
      </c>
      <c r="H39" s="1318">
        <f>D39-F39</f>
        <v>4978315</v>
      </c>
      <c r="I39" s="1323">
        <f>J39-'[18]Anexo 2 _ DP FUNC'!J39</f>
        <v>45869.94</v>
      </c>
      <c r="J39" s="141">
        <v>124522.34</v>
      </c>
      <c r="K39" s="1315">
        <f>J39/J137*100</f>
        <v>0.011677189098178822</v>
      </c>
      <c r="L39" s="130">
        <f>D39-J39</f>
        <v>5190249.66</v>
      </c>
      <c r="M39" s="425"/>
      <c r="N39" s="128"/>
    </row>
    <row r="40" spans="1:14" ht="18" customHeight="1">
      <c r="A40" s="1469" t="s">
        <v>130</v>
      </c>
      <c r="B40" s="1469"/>
      <c r="C40" s="133">
        <v>19789636</v>
      </c>
      <c r="D40" s="130">
        <f>C40</f>
        <v>19789636</v>
      </c>
      <c r="E40" s="612">
        <f>F40-'[18]Anexo 2 _ DP FUNC'!F40</f>
        <v>2179359.7200000007</v>
      </c>
      <c r="F40" s="1311">
        <v>12007937.13</v>
      </c>
      <c r="G40" s="1316">
        <f>F40/F137*100</f>
        <v>0.6634852431349317</v>
      </c>
      <c r="H40" s="1318">
        <f>D40-F40</f>
        <v>7781698.869999999</v>
      </c>
      <c r="I40" s="1323">
        <f>J40-'[18]Anexo 2 _ DP FUNC'!J40</f>
        <v>2158219.0500000003</v>
      </c>
      <c r="J40" s="141">
        <v>5957863.82</v>
      </c>
      <c r="K40" s="1316">
        <f>J40/J137*100</f>
        <v>0.558703783171261</v>
      </c>
      <c r="L40" s="130">
        <f>D40-J40</f>
        <v>13831772.18</v>
      </c>
      <c r="M40" s="425"/>
      <c r="N40" s="128"/>
    </row>
    <row r="41" spans="1:15" s="123" customFormat="1" ht="18" customHeight="1">
      <c r="A41" s="409" t="s">
        <v>131</v>
      </c>
      <c r="B41" s="409"/>
      <c r="C41" s="126">
        <f aca="true" t="shared" si="6" ref="C41:J41">C45+C43+C44+C42</f>
        <v>256674132</v>
      </c>
      <c r="D41" s="126">
        <f t="shared" si="6"/>
        <v>256674132</v>
      </c>
      <c r="E41" s="126">
        <f t="shared" si="6"/>
        <v>5515120.31</v>
      </c>
      <c r="F41" s="140">
        <f t="shared" si="6"/>
        <v>186055651.25</v>
      </c>
      <c r="G41" s="1314">
        <f>F41/F137*100</f>
        <v>10.280298578331607</v>
      </c>
      <c r="H41" s="1325">
        <f t="shared" si="6"/>
        <v>70618480.75</v>
      </c>
      <c r="I41" s="427">
        <f t="shared" si="6"/>
        <v>34693961.269999996</v>
      </c>
      <c r="J41" s="126">
        <f t="shared" si="6"/>
        <v>99185649.58</v>
      </c>
      <c r="K41" s="1314">
        <f>J41/J137*100</f>
        <v>9.301219250869853</v>
      </c>
      <c r="L41" s="126">
        <f>L42+L43+L44+L45</f>
        <v>157488482.42</v>
      </c>
      <c r="M41" s="126">
        <f>M42+M43+M44+M45</f>
        <v>0</v>
      </c>
      <c r="N41" s="408"/>
      <c r="O41" s="129"/>
    </row>
    <row r="42" spans="1:14" ht="18" customHeight="1">
      <c r="A42" s="380" t="s">
        <v>825</v>
      </c>
      <c r="B42" s="380"/>
      <c r="C42" s="130"/>
      <c r="D42" s="141"/>
      <c r="E42" s="918"/>
      <c r="F42" s="503"/>
      <c r="G42" s="1315">
        <f>F42/F137*100</f>
        <v>0</v>
      </c>
      <c r="H42" s="1318">
        <f>D42-F42</f>
        <v>0</v>
      </c>
      <c r="I42" s="1323">
        <f>J42-'[18]Anexo 2 _ DP FUNC'!J42</f>
        <v>0</v>
      </c>
      <c r="J42" s="425"/>
      <c r="K42" s="1315">
        <f>J42/J137*100</f>
        <v>0</v>
      </c>
      <c r="L42" s="130">
        <f>D42-J42</f>
        <v>0</v>
      </c>
      <c r="M42" s="425"/>
      <c r="N42" s="128"/>
    </row>
    <row r="43" spans="1:14" ht="18" customHeight="1">
      <c r="A43" s="380" t="s">
        <v>111</v>
      </c>
      <c r="B43" s="380"/>
      <c r="C43" s="130"/>
      <c r="D43" s="141"/>
      <c r="E43" s="612"/>
      <c r="F43" s="1311"/>
      <c r="G43" s="1315">
        <f>F43/F137*100</f>
        <v>0</v>
      </c>
      <c r="H43" s="1318">
        <f>D43-F43</f>
        <v>0</v>
      </c>
      <c r="I43" s="1323">
        <f>J43-'[18]Anexo 2 _ DP FUNC'!J43</f>
        <v>0</v>
      </c>
      <c r="J43" s="425"/>
      <c r="K43" s="1315">
        <f>J43/J137*100</f>
        <v>0</v>
      </c>
      <c r="L43" s="130">
        <f>D43-J43</f>
        <v>0</v>
      </c>
      <c r="M43" s="425"/>
      <c r="N43" s="128"/>
    </row>
    <row r="44" spans="1:14" ht="18" customHeight="1">
      <c r="A44" s="380" t="s">
        <v>133</v>
      </c>
      <c r="B44" s="380"/>
      <c r="C44" s="130">
        <v>235550132</v>
      </c>
      <c r="D44" s="141">
        <f>C44</f>
        <v>235550132</v>
      </c>
      <c r="E44" s="612">
        <f>F44-'[18]Anexo 2 _ DP FUNC'!F44</f>
        <v>0</v>
      </c>
      <c r="F44" s="1311">
        <v>172600000</v>
      </c>
      <c r="G44" s="1315">
        <f>F44/F137*100</f>
        <v>9.536821497756227</v>
      </c>
      <c r="H44" s="1318">
        <f>D44-F44</f>
        <v>62950132</v>
      </c>
      <c r="I44" s="1323">
        <f>J44-'[18]Anexo 2 _ DP FUNC'!J44</f>
        <v>30980529.269999996</v>
      </c>
      <c r="J44" s="425">
        <v>90185476.61</v>
      </c>
      <c r="K44" s="1315">
        <f>J44/J137*100</f>
        <v>8.457220321143605</v>
      </c>
      <c r="L44" s="130">
        <f>D44-J44</f>
        <v>145364655.39</v>
      </c>
      <c r="M44" s="425"/>
      <c r="N44" s="128"/>
    </row>
    <row r="45" spans="1:14" ht="18" customHeight="1">
      <c r="A45" s="132" t="s">
        <v>812</v>
      </c>
      <c r="B45" s="132"/>
      <c r="C45" s="898">
        <v>21124000</v>
      </c>
      <c r="D45" s="134">
        <f>C45</f>
        <v>21124000</v>
      </c>
      <c r="E45" s="612">
        <f>F45-'[18]Anexo 2 _ DP FUNC'!F45</f>
        <v>5515120.31</v>
      </c>
      <c r="F45" s="1312">
        <v>13455651.25</v>
      </c>
      <c r="G45" s="1316">
        <f>F45/F137*100</f>
        <v>0.7434770805753792</v>
      </c>
      <c r="H45" s="1319">
        <f>D45-F45</f>
        <v>7668348.75</v>
      </c>
      <c r="I45" s="1323">
        <f>J45-'[18]Anexo 2 _ DP FUNC'!J45</f>
        <v>3713432.000000001</v>
      </c>
      <c r="J45" s="426">
        <v>9000172.97</v>
      </c>
      <c r="K45" s="1316">
        <f>J45/J137*100</f>
        <v>0.8439989297262461</v>
      </c>
      <c r="L45" s="1074">
        <f>D45-J45</f>
        <v>12123827.03</v>
      </c>
      <c r="M45" s="929"/>
      <c r="N45" s="128"/>
    </row>
    <row r="46" spans="1:15" s="123" customFormat="1" ht="18" customHeight="1">
      <c r="A46" s="409" t="s">
        <v>134</v>
      </c>
      <c r="B46" s="385"/>
      <c r="C46" s="146">
        <f>SUM(C47:C56)</f>
        <v>747688101</v>
      </c>
      <c r="D46" s="146">
        <f aca="true" t="shared" si="7" ref="D46:L46">SUM(D47:D56)</f>
        <v>726867025.58</v>
      </c>
      <c r="E46" s="1339">
        <f t="shared" si="7"/>
        <v>27552298.939999998</v>
      </c>
      <c r="F46" s="508">
        <f t="shared" si="7"/>
        <v>611398328.68</v>
      </c>
      <c r="G46" s="1314">
        <f>F46/F137*100</f>
        <v>33.782136295756956</v>
      </c>
      <c r="H46" s="1336">
        <f t="shared" si="7"/>
        <v>115468696.89999999</v>
      </c>
      <c r="I46" s="1334">
        <f>SUM(I47:I56)</f>
        <v>134081322.93</v>
      </c>
      <c r="J46" s="146">
        <f t="shared" si="7"/>
        <v>354183308.33</v>
      </c>
      <c r="K46" s="1314">
        <f>J46/J137*100</f>
        <v>33.213843128775</v>
      </c>
      <c r="L46" s="508">
        <f t="shared" si="7"/>
        <v>372683717.25000006</v>
      </c>
      <c r="M46" s="928">
        <f>SUM(M47:M56)</f>
        <v>0</v>
      </c>
      <c r="N46" s="408"/>
      <c r="O46" s="129"/>
    </row>
    <row r="47" spans="1:14" ht="18" customHeight="1">
      <c r="A47" s="1455" t="s">
        <v>117</v>
      </c>
      <c r="B47" s="1455"/>
      <c r="C47" s="130">
        <v>184195</v>
      </c>
      <c r="D47" s="130">
        <f>C47</f>
        <v>184195</v>
      </c>
      <c r="E47" s="612">
        <f>F47-'[18]Anexo 2 _ DP FUNC'!F47</f>
        <v>39175.57000000001</v>
      </c>
      <c r="F47" s="1311">
        <v>50939.23</v>
      </c>
      <c r="G47" s="1315">
        <f>F47/F137*100</f>
        <v>0.002814590635823575</v>
      </c>
      <c r="H47" s="1318">
        <f aca="true" t="shared" si="8" ref="H47:H56">D47-F47</f>
        <v>133255.77</v>
      </c>
      <c r="I47" s="1323">
        <f>J47-'[18]Anexo 2 _ DP FUNC'!J47</f>
        <v>39175.57</v>
      </c>
      <c r="J47" s="130">
        <v>39744.37</v>
      </c>
      <c r="K47" s="1315">
        <f>J47/J137*100</f>
        <v>0.003727062341407859</v>
      </c>
      <c r="L47" s="130">
        <f aca="true" t="shared" si="9" ref="L47:L56">D47-J47</f>
        <v>144450.63</v>
      </c>
      <c r="M47" s="425"/>
      <c r="N47" s="128"/>
    </row>
    <row r="48" spans="1:15" s="710" customFormat="1" ht="18" customHeight="1">
      <c r="A48" s="709" t="s">
        <v>111</v>
      </c>
      <c r="B48" s="709"/>
      <c r="C48" s="704">
        <v>256914513</v>
      </c>
      <c r="D48" s="1340">
        <v>236093437.58</v>
      </c>
      <c r="E48" s="918">
        <f>F48-'[18]Anexo 2 _ DP FUNC'!F48</f>
        <v>2852706.4599999785</v>
      </c>
      <c r="F48" s="503">
        <v>225901763.67</v>
      </c>
      <c r="G48" s="1315">
        <f>F48/F137*100</f>
        <v>12.481951310249725</v>
      </c>
      <c r="H48" s="1318">
        <f t="shared" si="8"/>
        <v>10191673.910000026</v>
      </c>
      <c r="I48" s="1323">
        <f>J48-'[18]Anexo 2 _ DP FUNC'!J48</f>
        <v>38692152.379999995</v>
      </c>
      <c r="J48" s="704">
        <v>114677922.32</v>
      </c>
      <c r="K48" s="1315">
        <f>J48/J137*100</f>
        <v>10.754020397600158</v>
      </c>
      <c r="L48" s="130">
        <f t="shared" si="9"/>
        <v>121415515.26000002</v>
      </c>
      <c r="M48" s="930"/>
      <c r="N48" s="707"/>
      <c r="O48" s="708"/>
    </row>
    <row r="49" spans="1:14" ht="18" customHeight="1">
      <c r="A49" s="380" t="s">
        <v>120</v>
      </c>
      <c r="B49" s="380"/>
      <c r="C49" s="130"/>
      <c r="D49" s="130"/>
      <c r="E49" s="612">
        <f>F49-'[18]Anexo 2 _ DP FUNC'!F49</f>
        <v>0</v>
      </c>
      <c r="F49" s="1311"/>
      <c r="G49" s="1315">
        <f>F49/F137*100</f>
        <v>0</v>
      </c>
      <c r="H49" s="1318">
        <f t="shared" si="8"/>
        <v>0</v>
      </c>
      <c r="I49" s="1323">
        <f>J49-'[18]Anexo 2 _ DP FUNC'!J49</f>
        <v>0</v>
      </c>
      <c r="J49" s="130"/>
      <c r="K49" s="1315">
        <f>J49/J137*100</f>
        <v>0</v>
      </c>
      <c r="L49" s="130">
        <f t="shared" si="9"/>
        <v>0</v>
      </c>
      <c r="M49" s="425"/>
      <c r="N49" s="128"/>
    </row>
    <row r="50" spans="1:14" ht="18" customHeight="1">
      <c r="A50" s="380" t="s">
        <v>517</v>
      </c>
      <c r="B50" s="380"/>
      <c r="C50" s="130"/>
      <c r="D50" s="130"/>
      <c r="E50" s="612">
        <f>F50-'[18]Anexo 2 _ DP FUNC'!F50</f>
        <v>0</v>
      </c>
      <c r="F50" s="1311"/>
      <c r="G50" s="1315">
        <f>F50/F137*100</f>
        <v>0</v>
      </c>
      <c r="H50" s="1318">
        <f t="shared" si="8"/>
        <v>0</v>
      </c>
      <c r="I50" s="1323">
        <f>J50-'[18]Anexo 2 _ DP FUNC'!J50</f>
        <v>0</v>
      </c>
      <c r="J50" s="130"/>
      <c r="K50" s="1315">
        <f>J50/J137*100</f>
        <v>0</v>
      </c>
      <c r="L50" s="130">
        <f t="shared" si="9"/>
        <v>0</v>
      </c>
      <c r="M50" s="425"/>
      <c r="N50" s="128"/>
    </row>
    <row r="51" spans="1:14" ht="18" customHeight="1">
      <c r="A51" s="380" t="s">
        <v>121</v>
      </c>
      <c r="B51" s="380"/>
      <c r="C51" s="130"/>
      <c r="D51" s="130"/>
      <c r="E51" s="612">
        <f>F51-'[18]Anexo 2 _ DP FUNC'!F51</f>
        <v>0</v>
      </c>
      <c r="F51" s="1311"/>
      <c r="G51" s="1315">
        <f>F51/F137*100</f>
        <v>0</v>
      </c>
      <c r="H51" s="1318">
        <f t="shared" si="8"/>
        <v>0</v>
      </c>
      <c r="I51" s="1323">
        <f>J51-'[18]Anexo 2 _ DP FUNC'!J51</f>
        <v>0</v>
      </c>
      <c r="J51" s="130"/>
      <c r="K51" s="1315">
        <f>J51/J137*100</f>
        <v>0</v>
      </c>
      <c r="L51" s="130">
        <f t="shared" si="9"/>
        <v>0</v>
      </c>
      <c r="M51" s="425"/>
      <c r="N51" s="128"/>
    </row>
    <row r="52" spans="1:14" ht="18" customHeight="1">
      <c r="A52" s="380" t="s">
        <v>135</v>
      </c>
      <c r="B52" s="380"/>
      <c r="C52" s="130">
        <v>71920070</v>
      </c>
      <c r="D52" s="130">
        <v>69290070</v>
      </c>
      <c r="E52" s="612">
        <f>F52-'[18]Anexo 2 _ DP FUNC'!F52</f>
        <v>2872401.25</v>
      </c>
      <c r="F52" s="1311">
        <v>53800098.2</v>
      </c>
      <c r="G52" s="1315">
        <f>F52/F137*100</f>
        <v>2.9726647340391437</v>
      </c>
      <c r="H52" s="1318">
        <f t="shared" si="8"/>
        <v>15489971.799999997</v>
      </c>
      <c r="I52" s="1323">
        <f>J52-'[18]Anexo 2 _ DP FUNC'!J52</f>
        <v>13965775.91</v>
      </c>
      <c r="J52" s="130">
        <v>36246384.18</v>
      </c>
      <c r="K52" s="1315">
        <f>J52/J137*100</f>
        <v>3.3990357247952243</v>
      </c>
      <c r="L52" s="130">
        <f t="shared" si="9"/>
        <v>33043685.82</v>
      </c>
      <c r="M52" s="425"/>
      <c r="N52" s="128"/>
    </row>
    <row r="53" spans="1:14" ht="18" customHeight="1">
      <c r="A53" s="1470" t="s">
        <v>136</v>
      </c>
      <c r="B53" s="1470"/>
      <c r="C53" s="130">
        <v>369060376</v>
      </c>
      <c r="D53" s="130">
        <v>375391838</v>
      </c>
      <c r="E53" s="612">
        <f>F53-'[18]Anexo 2 _ DP FUNC'!F53</f>
        <v>15323877.73000002</v>
      </c>
      <c r="F53" s="1311">
        <v>304308361.66</v>
      </c>
      <c r="G53" s="1315">
        <f>F53/F137*100</f>
        <v>16.814220888911155</v>
      </c>
      <c r="H53" s="1318">
        <f t="shared" si="8"/>
        <v>71083476.33999997</v>
      </c>
      <c r="I53" s="1323">
        <f>J53-'[18]Anexo 2 _ DP FUNC'!J53</f>
        <v>74809316.22</v>
      </c>
      <c r="J53" s="130">
        <v>189390276.25</v>
      </c>
      <c r="K53" s="1315">
        <f>J53/J137*100</f>
        <v>17.760235385293722</v>
      </c>
      <c r="L53" s="130">
        <f t="shared" si="9"/>
        <v>186001561.75</v>
      </c>
      <c r="M53" s="425"/>
      <c r="N53" s="128"/>
    </row>
    <row r="54" spans="1:14" ht="18" customHeight="1">
      <c r="A54" s="1470" t="s">
        <v>508</v>
      </c>
      <c r="B54" s="1470"/>
      <c r="C54" s="130">
        <v>26135188</v>
      </c>
      <c r="D54" s="130">
        <v>22835188</v>
      </c>
      <c r="E54" s="612">
        <f>F54-'[18]Anexo 2 _ DP FUNC'!F54</f>
        <v>5483773.960000001</v>
      </c>
      <c r="F54" s="1311">
        <v>10417464.55</v>
      </c>
      <c r="G54" s="1315">
        <f>F54/F137*100</f>
        <v>0.5756054453797996</v>
      </c>
      <c r="H54" s="1318">
        <f t="shared" si="8"/>
        <v>12417723.45</v>
      </c>
      <c r="I54" s="1323">
        <f>J54-'[18]Anexo 2 _ DP FUNC'!J54</f>
        <v>1529076.0399999998</v>
      </c>
      <c r="J54" s="130">
        <v>3356439.03</v>
      </c>
      <c r="K54" s="1315">
        <f>J54/J137*100</f>
        <v>0.31475294513271995</v>
      </c>
      <c r="L54" s="130">
        <f t="shared" si="9"/>
        <v>19478748.97</v>
      </c>
      <c r="M54" s="425"/>
      <c r="N54" s="128"/>
    </row>
    <row r="55" spans="1:14" ht="18" customHeight="1">
      <c r="A55" s="1470" t="s">
        <v>137</v>
      </c>
      <c r="B55" s="1470"/>
      <c r="C55" s="130">
        <v>23473759</v>
      </c>
      <c r="D55" s="130">
        <v>23072297</v>
      </c>
      <c r="E55" s="612">
        <f>F55-'[18]Anexo 2 _ DP FUNC'!F55</f>
        <v>980363.9700000007</v>
      </c>
      <c r="F55" s="1311">
        <v>16919701.37</v>
      </c>
      <c r="G55" s="1315">
        <f>F55/F137*100</f>
        <v>0.934879326541318</v>
      </c>
      <c r="H55" s="1318">
        <f t="shared" si="8"/>
        <v>6152595.629999999</v>
      </c>
      <c r="I55" s="1323">
        <f>J55-'[18]Anexo 2 _ DP FUNC'!J55</f>
        <v>5045826.81</v>
      </c>
      <c r="J55" s="130">
        <v>10472542.18</v>
      </c>
      <c r="K55" s="1315">
        <f>J55/J137*100</f>
        <v>0.9820716136117735</v>
      </c>
      <c r="L55" s="130">
        <f t="shared" si="9"/>
        <v>12599754.82</v>
      </c>
      <c r="M55" s="425"/>
      <c r="N55" s="128"/>
    </row>
    <row r="56" spans="1:14" ht="18" customHeight="1">
      <c r="A56" s="132" t="s">
        <v>138</v>
      </c>
      <c r="B56" s="411"/>
      <c r="C56" s="133"/>
      <c r="D56" s="133"/>
      <c r="E56" s="612">
        <f>F56-'[18]Anexo 2 _ DP FUNC'!F56</f>
        <v>0</v>
      </c>
      <c r="F56" s="1311"/>
      <c r="G56" s="1316">
        <f>F56/F137*100</f>
        <v>0</v>
      </c>
      <c r="H56" s="1318">
        <f t="shared" si="8"/>
        <v>0</v>
      </c>
      <c r="I56" s="1323">
        <f>J56-'[18]Anexo 2 _ DP FUNC'!J56</f>
        <v>0</v>
      </c>
      <c r="J56" s="133"/>
      <c r="K56" s="1316">
        <f>J56/J137*100</f>
        <v>0</v>
      </c>
      <c r="L56" s="130">
        <f t="shared" si="9"/>
        <v>0</v>
      </c>
      <c r="M56" s="929"/>
      <c r="N56" s="128"/>
    </row>
    <row r="57" spans="1:15" s="123" customFormat="1" ht="18" customHeight="1">
      <c r="A57" s="1471" t="s">
        <v>139</v>
      </c>
      <c r="B57" s="1471"/>
      <c r="C57" s="126">
        <f aca="true" t="shared" si="10" ref="C57:J57">C61+C60+C58+C59</f>
        <v>78000</v>
      </c>
      <c r="D57" s="126">
        <f t="shared" si="10"/>
        <v>78000</v>
      </c>
      <c r="E57" s="510">
        <f t="shared" si="10"/>
        <v>0</v>
      </c>
      <c r="F57" s="1321">
        <f t="shared" si="10"/>
        <v>0</v>
      </c>
      <c r="G57" s="1314">
        <f>F57/F137*100</f>
        <v>0</v>
      </c>
      <c r="H57" s="1337">
        <f t="shared" si="10"/>
        <v>78000</v>
      </c>
      <c r="I57" s="1302">
        <f>I61+I60+I58+I59</f>
        <v>0</v>
      </c>
      <c r="J57" s="126">
        <f t="shared" si="10"/>
        <v>0</v>
      </c>
      <c r="K57" s="1314">
        <f>J57/J137*100</f>
        <v>0</v>
      </c>
      <c r="L57" s="931">
        <f>L58+L59+L60+L61</f>
        <v>78000</v>
      </c>
      <c r="M57" s="931">
        <f>M58+M59+M60+M61</f>
        <v>0</v>
      </c>
      <c r="N57" s="408"/>
      <c r="O57" s="129"/>
    </row>
    <row r="58" spans="1:15" s="123" customFormat="1" ht="18" customHeight="1">
      <c r="A58" s="1470" t="s">
        <v>140</v>
      </c>
      <c r="B58" s="1470"/>
      <c r="C58" s="130">
        <v>20000</v>
      </c>
      <c r="D58" s="130">
        <f>C58</f>
        <v>20000</v>
      </c>
      <c r="E58" s="612">
        <f>F58-'[18]Anexo 2 _ DP FUNC'!F58</f>
        <v>0</v>
      </c>
      <c r="F58" s="1311">
        <v>0</v>
      </c>
      <c r="G58" s="1315">
        <f>F58/F137*100</f>
        <v>0</v>
      </c>
      <c r="H58" s="1318">
        <f>D58-F58</f>
        <v>20000</v>
      </c>
      <c r="I58" s="1323">
        <f>J58-'[18]Anexo 2 _ DP FUNC'!J58</f>
        <v>0</v>
      </c>
      <c r="J58" s="130">
        <v>0</v>
      </c>
      <c r="K58" s="1315">
        <f>J58/J137*100</f>
        <v>0</v>
      </c>
      <c r="L58" s="130">
        <f>D58-J58</f>
        <v>20000</v>
      </c>
      <c r="M58" s="425"/>
      <c r="N58" s="408"/>
      <c r="O58" s="129"/>
    </row>
    <row r="59" spans="1:15" s="123" customFormat="1" ht="18" customHeight="1">
      <c r="A59" s="1470" t="s">
        <v>141</v>
      </c>
      <c r="B59" s="1470"/>
      <c r="C59" s="130">
        <v>58000</v>
      </c>
      <c r="D59" s="130">
        <f>C59</f>
        <v>58000</v>
      </c>
      <c r="E59" s="612">
        <f>F59-'[18]Anexo 2 _ DP FUNC'!F59</f>
        <v>0</v>
      </c>
      <c r="F59" s="1311">
        <v>0</v>
      </c>
      <c r="G59" s="1315">
        <f>F59/F137*100</f>
        <v>0</v>
      </c>
      <c r="H59" s="1318">
        <f>D59-F59</f>
        <v>58000</v>
      </c>
      <c r="I59" s="1323">
        <f>J59-'[18]Anexo 2 _ DP FUNC'!J59</f>
        <v>0</v>
      </c>
      <c r="J59" s="130">
        <v>0</v>
      </c>
      <c r="K59" s="1315">
        <f>J59/J137*100</f>
        <v>0</v>
      </c>
      <c r="L59" s="130">
        <f>D59-J59</f>
        <v>58000</v>
      </c>
      <c r="M59" s="425"/>
      <c r="N59" s="408"/>
      <c r="O59" s="129"/>
    </row>
    <row r="60" spans="1:14" ht="18" customHeight="1">
      <c r="A60" s="1470" t="s">
        <v>142</v>
      </c>
      <c r="B60" s="1470"/>
      <c r="C60" s="130"/>
      <c r="D60" s="130"/>
      <c r="E60" s="612"/>
      <c r="F60" s="1311"/>
      <c r="G60" s="1315">
        <f>F60/F137*100</f>
        <v>0</v>
      </c>
      <c r="H60" s="1318">
        <f>D60-F60</f>
        <v>0</v>
      </c>
      <c r="I60" s="1323">
        <f>J60-'[18]Anexo 2 _ DP FUNC'!J60</f>
        <v>0</v>
      </c>
      <c r="J60" s="130"/>
      <c r="K60" s="1315">
        <f>J60/J137*100</f>
        <v>0</v>
      </c>
      <c r="L60" s="130">
        <f>D60-J60</f>
        <v>0</v>
      </c>
      <c r="M60" s="425"/>
      <c r="N60" s="128"/>
    </row>
    <row r="61" spans="1:15" ht="18" customHeight="1">
      <c r="A61" s="1469" t="s">
        <v>143</v>
      </c>
      <c r="B61" s="1469"/>
      <c r="C61" s="130"/>
      <c r="D61" s="133"/>
      <c r="E61" s="612"/>
      <c r="F61" s="1312"/>
      <c r="G61" s="1316">
        <f>F61/F137*100</f>
        <v>0</v>
      </c>
      <c r="H61" s="1318">
        <f>D61-F61</f>
        <v>0</v>
      </c>
      <c r="I61" s="771">
        <f>J61-'[18]Anexo 2 _ DP FUNC'!J61</f>
        <v>0</v>
      </c>
      <c r="J61" s="131"/>
      <c r="K61" s="1316">
        <f>J61/J137*100</f>
        <v>0</v>
      </c>
      <c r="L61" s="130">
        <f>D61-J61</f>
        <v>0</v>
      </c>
      <c r="M61" s="425"/>
      <c r="N61" s="128"/>
      <c r="O61" s="688"/>
    </row>
    <row r="62" spans="1:14" s="129" customFormat="1" ht="18" customHeight="1">
      <c r="A62" s="1466" t="s">
        <v>144</v>
      </c>
      <c r="B62" s="1466"/>
      <c r="C62" s="142">
        <f aca="true" t="shared" si="11" ref="C62:L62">SUM(C63:C69)</f>
        <v>538717819</v>
      </c>
      <c r="D62" s="143">
        <f t="shared" si="11"/>
        <v>522276959.1700001</v>
      </c>
      <c r="E62" s="511">
        <f>SUM(E63:E69)</f>
        <v>73356899.4</v>
      </c>
      <c r="F62" s="512">
        <f t="shared" si="11"/>
        <v>247043680.53</v>
      </c>
      <c r="G62" s="1314">
        <f>F62/F137*100</f>
        <v>13.650124469080682</v>
      </c>
      <c r="H62" s="1004">
        <f t="shared" si="11"/>
        <v>275233278.64</v>
      </c>
      <c r="I62" s="1004">
        <f>SUM(I63:I69)</f>
        <v>76258088.27000001</v>
      </c>
      <c r="J62" s="428">
        <f t="shared" si="11"/>
        <v>207535689.96</v>
      </c>
      <c r="K62" s="1314">
        <f>J62/J137*100</f>
        <v>19.46183709914167</v>
      </c>
      <c r="L62" s="512">
        <f t="shared" si="11"/>
        <v>314741269.21000004</v>
      </c>
      <c r="M62" s="932">
        <f>SUM(M63:M69)</f>
        <v>0</v>
      </c>
      <c r="N62" s="408"/>
    </row>
    <row r="63" spans="1:14" s="112" customFormat="1" ht="18" customHeight="1">
      <c r="A63" s="380" t="s">
        <v>111</v>
      </c>
      <c r="B63" s="409"/>
      <c r="C63" s="144"/>
      <c r="D63" s="145"/>
      <c r="E63" s="612"/>
      <c r="F63" s="1322"/>
      <c r="G63" s="1315">
        <f>F63/F137*100</f>
        <v>0</v>
      </c>
      <c r="H63" s="1318">
        <f aca="true" t="shared" si="12" ref="H63:H69">D63-F63</f>
        <v>0</v>
      </c>
      <c r="I63" s="771">
        <f>J63-'[18]Anexo 2 _ DP FUNC'!J63</f>
        <v>0</v>
      </c>
      <c r="J63" s="429"/>
      <c r="K63" s="1315">
        <f>J63/J137*100</f>
        <v>0</v>
      </c>
      <c r="L63" s="130">
        <f aca="true" t="shared" si="13" ref="L63:L69">D63-J63</f>
        <v>0</v>
      </c>
      <c r="M63" s="425"/>
      <c r="N63" s="128"/>
    </row>
    <row r="64" spans="1:14" s="112" customFormat="1" ht="18" customHeight="1">
      <c r="A64" s="1455" t="s">
        <v>132</v>
      </c>
      <c r="B64" s="1455"/>
      <c r="C64" s="144"/>
      <c r="D64" s="145"/>
      <c r="E64" s="612"/>
      <c r="F64" s="1322"/>
      <c r="G64" s="1315">
        <f>F64/F137*100</f>
        <v>0</v>
      </c>
      <c r="H64" s="1318">
        <f t="shared" si="12"/>
        <v>0</v>
      </c>
      <c r="I64" s="771">
        <f>J64-'[18]Anexo 2 _ DP FUNC'!J64</f>
        <v>0</v>
      </c>
      <c r="J64" s="429"/>
      <c r="K64" s="1315">
        <f>J64/J137*100</f>
        <v>0</v>
      </c>
      <c r="L64" s="130">
        <f t="shared" si="13"/>
        <v>0</v>
      </c>
      <c r="M64" s="425"/>
      <c r="N64" s="128"/>
    </row>
    <row r="65" spans="1:14" s="112" customFormat="1" ht="18" customHeight="1">
      <c r="A65" s="1455" t="s">
        <v>145</v>
      </c>
      <c r="B65" s="1455"/>
      <c r="C65" s="130">
        <v>428122347.61</v>
      </c>
      <c r="D65" s="131">
        <v>408658097.22</v>
      </c>
      <c r="E65" s="612">
        <f>F65-'[18]Anexo 2 _ DP FUNC'!F65</f>
        <v>63749148.860000014</v>
      </c>
      <c r="F65" s="1322">
        <v>213883672.24</v>
      </c>
      <c r="G65" s="1315">
        <f>F65/F137*100</f>
        <v>11.81790500253464</v>
      </c>
      <c r="H65" s="1318">
        <f t="shared" si="12"/>
        <v>194774424.98000002</v>
      </c>
      <c r="I65" s="771">
        <f>J65-'[18]Anexo 2 _ DP FUNC'!J65</f>
        <v>63777672.91000001</v>
      </c>
      <c r="J65" s="430">
        <v>178891956.74</v>
      </c>
      <c r="K65" s="1315">
        <f>J65/J137*100</f>
        <v>16.775746480480578</v>
      </c>
      <c r="L65" s="130">
        <f t="shared" si="13"/>
        <v>229766140.48000002</v>
      </c>
      <c r="M65" s="425"/>
      <c r="N65" s="128"/>
    </row>
    <row r="66" spans="1:14" s="112" customFormat="1" ht="18" customHeight="1">
      <c r="A66" s="1455" t="s">
        <v>146</v>
      </c>
      <c r="B66" s="1455"/>
      <c r="C66" s="130">
        <v>81482236.92</v>
      </c>
      <c r="D66" s="131">
        <v>81274734.34</v>
      </c>
      <c r="E66" s="612">
        <f>F66-'[18]Anexo 2 _ DP FUNC'!F66</f>
        <v>6732114.239999998</v>
      </c>
      <c r="F66" s="1311">
        <v>21906645.79</v>
      </c>
      <c r="G66" s="1315">
        <f>F66/F137*100</f>
        <v>1.2104274073800867</v>
      </c>
      <c r="H66" s="1318">
        <f t="shared" si="12"/>
        <v>59368088.550000004</v>
      </c>
      <c r="I66" s="771">
        <f>J66-'[18]Anexo 2 _ DP FUNC'!J66</f>
        <v>7019643.68</v>
      </c>
      <c r="J66" s="430">
        <v>17871059.61</v>
      </c>
      <c r="K66" s="1315">
        <f>J66/J137*100</f>
        <v>1.6758739231112738</v>
      </c>
      <c r="L66" s="130">
        <f t="shared" si="13"/>
        <v>63403674.730000004</v>
      </c>
      <c r="M66" s="425"/>
      <c r="N66" s="128"/>
    </row>
    <row r="67" spans="1:14" s="112" customFormat="1" ht="18" customHeight="1">
      <c r="A67" s="1455" t="s">
        <v>147</v>
      </c>
      <c r="B67" s="1455"/>
      <c r="C67" s="130">
        <v>20281967.35</v>
      </c>
      <c r="D67" s="131">
        <v>23512860.49</v>
      </c>
      <c r="E67" s="612">
        <f>F67-'[18]Anexo 2 _ DP FUNC'!F67</f>
        <v>1902896.3499999996</v>
      </c>
      <c r="F67" s="1311">
        <v>8686233.77</v>
      </c>
      <c r="G67" s="1315">
        <f>F67/F137*100</f>
        <v>0.4799482094569648</v>
      </c>
      <c r="H67" s="1318">
        <f t="shared" si="12"/>
        <v>14826626.719999999</v>
      </c>
      <c r="I67" s="771">
        <f>J67-'[18]Anexo 2 _ DP FUNC'!J67</f>
        <v>4488031.73</v>
      </c>
      <c r="J67" s="430">
        <v>8205544.88</v>
      </c>
      <c r="K67" s="1315">
        <f>J67/J137*100</f>
        <v>0.7694819999154614</v>
      </c>
      <c r="L67" s="130">
        <f t="shared" si="13"/>
        <v>15307315.61</v>
      </c>
      <c r="M67" s="425"/>
      <c r="N67" s="128"/>
    </row>
    <row r="68" spans="1:13" s="112" customFormat="1" ht="15" customHeight="1">
      <c r="A68" s="1455" t="s">
        <v>148</v>
      </c>
      <c r="B68" s="1455"/>
      <c r="C68" s="130">
        <v>8831267.12</v>
      </c>
      <c r="D68" s="131">
        <f>C68</f>
        <v>8831267.12</v>
      </c>
      <c r="E68" s="612">
        <f>F68-'[18]Anexo 2 _ DP FUNC'!F68</f>
        <v>972739.95</v>
      </c>
      <c r="F68" s="1311">
        <v>2567128.73</v>
      </c>
      <c r="G68" s="1315">
        <f>F68/F137*100</f>
        <v>0.1418438497089898</v>
      </c>
      <c r="H68" s="1318">
        <f t="shared" si="12"/>
        <v>6264138.389999999</v>
      </c>
      <c r="I68" s="771">
        <f>J68-'[18]Anexo 2 _ DP FUNC'!J68</f>
        <v>972739.95</v>
      </c>
      <c r="J68" s="430">
        <v>2567128.73</v>
      </c>
      <c r="K68" s="1315">
        <f>J68/J137*100</f>
        <v>0.24073469563435484</v>
      </c>
      <c r="L68" s="130">
        <f t="shared" si="13"/>
        <v>6264138.389999999</v>
      </c>
      <c r="M68" s="425"/>
    </row>
    <row r="69" spans="1:14" s="112" customFormat="1" ht="18" customHeight="1">
      <c r="A69" s="1454" t="s">
        <v>149</v>
      </c>
      <c r="B69" s="1454"/>
      <c r="C69" s="133"/>
      <c r="D69" s="136"/>
      <c r="E69" s="612"/>
      <c r="F69" s="1312"/>
      <c r="G69" s="1316">
        <f>F69/F137*100</f>
        <v>0</v>
      </c>
      <c r="H69" s="1318">
        <f t="shared" si="12"/>
        <v>0</v>
      </c>
      <c r="I69" s="771">
        <f>J69-'[18]Anexo 2 _ DP FUNC'!J69</f>
        <v>0</v>
      </c>
      <c r="J69" s="431"/>
      <c r="K69" s="1316">
        <f>J69/J137*100</f>
        <v>0</v>
      </c>
      <c r="L69" s="1074">
        <f t="shared" si="13"/>
        <v>0</v>
      </c>
      <c r="M69" s="929"/>
      <c r="N69" s="128"/>
    </row>
    <row r="70" spans="1:14" s="129" customFormat="1" ht="18" customHeight="1">
      <c r="A70" s="1472" t="s">
        <v>150</v>
      </c>
      <c r="B70" s="1472"/>
      <c r="C70" s="146">
        <f aca="true" t="shared" si="14" ref="C70:H70">C73+C74+C71+C72</f>
        <v>21024012</v>
      </c>
      <c r="D70" s="146">
        <f t="shared" si="14"/>
        <v>24973312</v>
      </c>
      <c r="E70" s="513">
        <f t="shared" si="14"/>
        <v>4283134.440000001</v>
      </c>
      <c r="F70" s="514">
        <f t="shared" si="14"/>
        <v>13648407.55</v>
      </c>
      <c r="G70" s="1314">
        <f>F70/F137*100</f>
        <v>0.7541276160659236</v>
      </c>
      <c r="H70" s="899">
        <f t="shared" si="14"/>
        <v>11324904.45</v>
      </c>
      <c r="I70" s="899">
        <f>I73+I74+I71+I72</f>
        <v>4943766.7</v>
      </c>
      <c r="J70" s="1019">
        <f>J71+J72+J73+J74</f>
        <v>11626615.15</v>
      </c>
      <c r="K70" s="1314">
        <f>J70/J137*100</f>
        <v>1.0902957949417007</v>
      </c>
      <c r="L70" s="928">
        <f>L71+L72+L73+L74</f>
        <v>13346696.85</v>
      </c>
      <c r="M70" s="928">
        <f>M71+M72+M73+M74</f>
        <v>0</v>
      </c>
      <c r="N70" s="408"/>
    </row>
    <row r="71" spans="1:14" ht="18" customHeight="1">
      <c r="A71" s="1470" t="s">
        <v>111</v>
      </c>
      <c r="B71" s="1470"/>
      <c r="C71" s="130">
        <v>14159237</v>
      </c>
      <c r="D71" s="141">
        <v>18108537</v>
      </c>
      <c r="E71" s="612">
        <f>F71-'[18]Anexo 2 _ DP FUNC'!F71</f>
        <v>4283134.440000001</v>
      </c>
      <c r="F71" s="509">
        <v>13648407.55</v>
      </c>
      <c r="G71" s="1315">
        <f>F71/F137*100</f>
        <v>0.7541276160659236</v>
      </c>
      <c r="H71" s="1318">
        <f>D71-F71</f>
        <v>4460129.449999999</v>
      </c>
      <c r="I71" s="771">
        <f>J71-'[18]Anexo 2 _ DP FUNC'!J71</f>
        <v>4943766.7</v>
      </c>
      <c r="J71" s="430">
        <v>11626615.15</v>
      </c>
      <c r="K71" s="1315">
        <f>J71/J137*100</f>
        <v>1.0902957949417007</v>
      </c>
      <c r="L71" s="130">
        <f>D71-J71</f>
        <v>6481921.85</v>
      </c>
      <c r="M71" s="425"/>
      <c r="N71" s="128"/>
    </row>
    <row r="72" spans="1:14" ht="18" customHeight="1">
      <c r="A72" s="1470" t="s">
        <v>143</v>
      </c>
      <c r="B72" s="1470"/>
      <c r="C72" s="130"/>
      <c r="D72" s="141"/>
      <c r="E72" s="612"/>
      <c r="F72" s="509"/>
      <c r="G72" s="1315">
        <f>F72/F137*100</f>
        <v>0</v>
      </c>
      <c r="H72" s="1318">
        <f>D72-F72</f>
        <v>0</v>
      </c>
      <c r="I72" s="771">
        <f>J72-'[18]Anexo 2 _ DP FUNC'!J72</f>
        <v>0</v>
      </c>
      <c r="J72" s="430"/>
      <c r="K72" s="1315">
        <f>J72/J137*100</f>
        <v>0</v>
      </c>
      <c r="L72" s="130">
        <f>D72-J72</f>
        <v>0</v>
      </c>
      <c r="M72" s="425"/>
      <c r="N72" s="128"/>
    </row>
    <row r="73" spans="1:14" ht="18" customHeight="1">
      <c r="A73" s="1470" t="s">
        <v>151</v>
      </c>
      <c r="B73" s="1470"/>
      <c r="C73" s="130">
        <v>6864775</v>
      </c>
      <c r="D73" s="141">
        <f>C73</f>
        <v>6864775</v>
      </c>
      <c r="E73" s="612">
        <f>F73-'[18]Anexo 2 _ DP FUNC'!F73</f>
        <v>0</v>
      </c>
      <c r="F73" s="509">
        <v>0</v>
      </c>
      <c r="G73" s="1315">
        <f>F73/F137*100</f>
        <v>0</v>
      </c>
      <c r="H73" s="1318">
        <f>D73-F73</f>
        <v>6864775</v>
      </c>
      <c r="I73" s="771">
        <f>J73-'[18]Anexo 2 _ DP FUNC'!J73</f>
        <v>0</v>
      </c>
      <c r="J73" s="430">
        <v>0</v>
      </c>
      <c r="K73" s="1315">
        <f>J73/J137*100</f>
        <v>0</v>
      </c>
      <c r="L73" s="130">
        <f>D73-J73</f>
        <v>6864775</v>
      </c>
      <c r="M73" s="425"/>
      <c r="N73" s="128"/>
    </row>
    <row r="74" spans="1:14" ht="18" customHeight="1">
      <c r="A74" s="1469" t="s">
        <v>152</v>
      </c>
      <c r="B74" s="1469"/>
      <c r="C74" s="133"/>
      <c r="D74" s="134"/>
      <c r="E74" s="612"/>
      <c r="F74" s="517"/>
      <c r="G74" s="1316">
        <f>F74/F137*100</f>
        <v>0</v>
      </c>
      <c r="H74" s="1318">
        <f>D74-F74</f>
        <v>0</v>
      </c>
      <c r="I74" s="771">
        <f>J74-'[18]Anexo 2 _ DP FUNC'!J74</f>
        <v>0</v>
      </c>
      <c r="J74" s="431"/>
      <c r="K74" s="1316">
        <f>J74/J137*100</f>
        <v>0</v>
      </c>
      <c r="L74" s="130">
        <f>D74-J74</f>
        <v>0</v>
      </c>
      <c r="M74" s="929"/>
      <c r="N74" s="128"/>
    </row>
    <row r="75" spans="1:15" s="123" customFormat="1" ht="18" customHeight="1">
      <c r="A75" s="1472" t="s">
        <v>153</v>
      </c>
      <c r="B75" s="1472"/>
      <c r="C75" s="146">
        <f aca="true" t="shared" si="15" ref="C75:J75">C78+C77+C76</f>
        <v>25015754</v>
      </c>
      <c r="D75" s="146">
        <f t="shared" si="15"/>
        <v>25115754</v>
      </c>
      <c r="E75" s="513">
        <f t="shared" si="15"/>
        <v>3761575.9</v>
      </c>
      <c r="F75" s="514">
        <f t="shared" si="15"/>
        <v>6841634.949999999</v>
      </c>
      <c r="G75" s="1314">
        <f>F75/F137*100</f>
        <v>0.3780269482674412</v>
      </c>
      <c r="H75" s="899">
        <f t="shared" si="15"/>
        <v>18274119.05</v>
      </c>
      <c r="I75" s="899">
        <f>I78+I77+I76</f>
        <v>4071901.4399999995</v>
      </c>
      <c r="J75" s="1044">
        <f t="shared" si="15"/>
        <v>5969295.41</v>
      </c>
      <c r="K75" s="1314">
        <f>J75/J137*100</f>
        <v>0.5597757903157048</v>
      </c>
      <c r="L75" s="931">
        <f>L76+L77+L78</f>
        <v>19146458.59</v>
      </c>
      <c r="M75" s="931">
        <f>M76+M77+M78</f>
        <v>0</v>
      </c>
      <c r="N75" s="408"/>
      <c r="O75" s="129"/>
    </row>
    <row r="76" spans="1:14" ht="18" customHeight="1">
      <c r="A76" s="1470" t="s">
        <v>111</v>
      </c>
      <c r="B76" s="1470"/>
      <c r="C76" s="141">
        <v>2194323</v>
      </c>
      <c r="D76" s="141">
        <v>2201323</v>
      </c>
      <c r="E76" s="612">
        <f>F76-'[18]Anexo 2 _ DP FUNC'!F76</f>
        <v>102923.97999999998</v>
      </c>
      <c r="F76" s="509">
        <v>1452104.56</v>
      </c>
      <c r="G76" s="1315">
        <f>F76/F137*100</f>
        <v>0.08023442633138962</v>
      </c>
      <c r="H76" s="1318">
        <f>D76-F76</f>
        <v>749218.44</v>
      </c>
      <c r="I76" s="771">
        <f>J76-'[18]Anexo 2 _ DP FUNC'!J76</f>
        <v>289285.3400000001</v>
      </c>
      <c r="J76" s="131">
        <v>744000.81</v>
      </c>
      <c r="K76" s="1315">
        <f>J76/J137*100</f>
        <v>0.06976931326192726</v>
      </c>
      <c r="L76" s="130">
        <f>D76-J76</f>
        <v>1457322.19</v>
      </c>
      <c r="M76" s="425"/>
      <c r="N76" s="128"/>
    </row>
    <row r="77" spans="1:14" ht="18" customHeight="1">
      <c r="A77" s="380" t="s">
        <v>154</v>
      </c>
      <c r="B77" s="385"/>
      <c r="C77" s="130">
        <v>21818431</v>
      </c>
      <c r="D77" s="141">
        <v>21811431</v>
      </c>
      <c r="E77" s="612">
        <f>F77-'[18]Anexo 2 _ DP FUNC'!F77</f>
        <v>3626938</v>
      </c>
      <c r="F77" s="509">
        <v>5255926.18</v>
      </c>
      <c r="G77" s="1315">
        <f>F77/F137*100</f>
        <v>0.29041036954834165</v>
      </c>
      <c r="H77" s="1318">
        <f>D77-F77</f>
        <v>16555504.82</v>
      </c>
      <c r="I77" s="771">
        <f>J77-'[18]Anexo 2 _ DP FUNC'!J77</f>
        <v>3750902.1799999997</v>
      </c>
      <c r="J77" s="135">
        <v>5130872.84</v>
      </c>
      <c r="K77" s="1315">
        <f>J77/J137*100</f>
        <v>0.4811519956289756</v>
      </c>
      <c r="L77" s="130">
        <f>D77-J77</f>
        <v>16680558.16</v>
      </c>
      <c r="M77" s="425"/>
      <c r="N77" s="128"/>
    </row>
    <row r="78" spans="1:14" ht="18" customHeight="1">
      <c r="A78" s="1469" t="s">
        <v>800</v>
      </c>
      <c r="B78" s="1469"/>
      <c r="C78" s="133">
        <v>1003000</v>
      </c>
      <c r="D78" s="134">
        <v>1103000</v>
      </c>
      <c r="E78" s="612">
        <f>F78-'[18]Anexo 2 _ DP FUNC'!F78</f>
        <v>31713.92</v>
      </c>
      <c r="F78" s="517">
        <v>133604.21</v>
      </c>
      <c r="G78" s="1316">
        <f>F78/F137*100</f>
        <v>0.00738215238770995</v>
      </c>
      <c r="H78" s="1319">
        <f>D78-F78</f>
        <v>969395.79</v>
      </c>
      <c r="I78" s="769">
        <f>J78-'[18]Anexo 2 _ DP FUNC'!J78</f>
        <v>31713.92</v>
      </c>
      <c r="J78" s="137">
        <v>94421.76</v>
      </c>
      <c r="K78" s="1316">
        <f>J78/J137*100</f>
        <v>0.008854481424801825</v>
      </c>
      <c r="L78" s="1074">
        <f>D78-J78</f>
        <v>1008578.24</v>
      </c>
      <c r="M78" s="929"/>
      <c r="N78" s="128"/>
    </row>
    <row r="79" spans="1:15" s="138" customFormat="1" ht="12" customHeight="1">
      <c r="A79" s="380"/>
      <c r="B79" s="380"/>
      <c r="C79" s="131"/>
      <c r="D79" s="131"/>
      <c r="E79" s="901"/>
      <c r="F79" s="131"/>
      <c r="G79" s="131"/>
      <c r="H79" s="131"/>
      <c r="I79" s="901"/>
      <c r="J79" s="481"/>
      <c r="K79" s="131"/>
      <c r="L79" s="1291"/>
      <c r="M79" s="147"/>
      <c r="N79" s="128"/>
      <c r="O79" s="223"/>
    </row>
    <row r="80" spans="1:15" s="113" customFormat="1" ht="18" customHeight="1">
      <c r="A80" s="958"/>
      <c r="B80" s="1473" t="s">
        <v>93</v>
      </c>
      <c r="C80" s="1473"/>
      <c r="D80" s="1473"/>
      <c r="E80" s="959"/>
      <c r="F80" s="958"/>
      <c r="G80" s="958"/>
      <c r="H80" s="958"/>
      <c r="I80" s="391"/>
      <c r="J80" s="148"/>
      <c r="K80" s="148"/>
      <c r="L80" s="114"/>
      <c r="M80" s="114"/>
      <c r="N80" s="412"/>
      <c r="O80" s="114"/>
    </row>
    <row r="81" spans="1:15" s="113" customFormat="1" ht="15" customHeight="1">
      <c r="A81" s="958"/>
      <c r="B81" s="1474" t="s">
        <v>94</v>
      </c>
      <c r="C81" s="1474"/>
      <c r="D81" s="1474"/>
      <c r="E81" s="1474"/>
      <c r="F81" s="1474"/>
      <c r="G81" s="1290"/>
      <c r="H81" s="1290"/>
      <c r="I81" s="391"/>
      <c r="J81" s="148"/>
      <c r="K81" s="148"/>
      <c r="L81" s="608"/>
      <c r="M81" s="608"/>
      <c r="N81" s="412"/>
      <c r="O81" s="114"/>
    </row>
    <row r="82" spans="1:15" s="113" customFormat="1" ht="15" customHeight="1">
      <c r="A82" s="958"/>
      <c r="B82" s="1474" t="s">
        <v>95</v>
      </c>
      <c r="C82" s="1474"/>
      <c r="D82" s="1474"/>
      <c r="E82" s="1474"/>
      <c r="F82" s="1474"/>
      <c r="G82" s="1290"/>
      <c r="H82" s="1290"/>
      <c r="I82" s="391"/>
      <c r="J82" s="148"/>
      <c r="K82" s="609" t="str">
        <f>K4</f>
        <v>Publicação: Diário Oficial do Município nº 140</v>
      </c>
      <c r="M82" s="608"/>
      <c r="N82" s="412"/>
      <c r="O82" s="114"/>
    </row>
    <row r="83" spans="1:15" s="113" customFormat="1" ht="15.75" customHeight="1">
      <c r="A83" s="958"/>
      <c r="B83" s="1474" t="s">
        <v>96</v>
      </c>
      <c r="C83" s="1474"/>
      <c r="D83" s="1474"/>
      <c r="E83" s="959"/>
      <c r="F83" s="958"/>
      <c r="G83" s="958"/>
      <c r="H83" s="958"/>
      <c r="I83" s="391"/>
      <c r="J83" s="148"/>
      <c r="K83" s="413" t="str">
        <f>K5</f>
        <v>Data: 30/07/2015</v>
      </c>
      <c r="M83" s="114"/>
      <c r="N83" s="412"/>
      <c r="O83" s="114"/>
    </row>
    <row r="84" spans="1:15" s="118" customFormat="1" ht="21" customHeight="1">
      <c r="A84" s="1464" t="str">
        <f>A5</f>
        <v>Referência: JANEIRO-JUNHO/2015; BIMESTRE: MAIO-JUNHO/2015</v>
      </c>
      <c r="B84" s="1464"/>
      <c r="C84" s="1464"/>
      <c r="D84" s="1464"/>
      <c r="E84" s="1464"/>
      <c r="F84" s="1464"/>
      <c r="G84" s="1289"/>
      <c r="H84" s="1289"/>
      <c r="I84" s="115"/>
      <c r="J84" s="115"/>
      <c r="K84" s="115"/>
      <c r="L84" s="115"/>
      <c r="M84" s="117"/>
      <c r="N84" s="394"/>
      <c r="O84" s="395"/>
    </row>
    <row r="85" spans="1:14" ht="13.5" customHeight="1">
      <c r="A85" s="112"/>
      <c r="B85" s="112"/>
      <c r="C85" s="112"/>
      <c r="H85" s="592"/>
      <c r="N85" s="128"/>
    </row>
    <row r="86" spans="1:15" s="121" customFormat="1" ht="12.75">
      <c r="A86" s="396" t="s">
        <v>647</v>
      </c>
      <c r="B86" s="397"/>
      <c r="C86" s="397"/>
      <c r="D86" s="397"/>
      <c r="E86" s="392"/>
      <c r="F86" s="120"/>
      <c r="G86" s="120"/>
      <c r="H86" s="120"/>
      <c r="I86" s="392"/>
      <c r="J86" s="120"/>
      <c r="K86" s="120"/>
      <c r="L86" s="120"/>
      <c r="M86" s="398" t="s">
        <v>539</v>
      </c>
      <c r="N86" s="128"/>
      <c r="O86" s="120"/>
    </row>
    <row r="87" spans="1:15" s="123" customFormat="1" ht="15.75" customHeight="1">
      <c r="A87" s="1465" t="s">
        <v>97</v>
      </c>
      <c r="B87" s="1465"/>
      <c r="C87" s="399" t="s">
        <v>98</v>
      </c>
      <c r="D87" s="400" t="s">
        <v>98</v>
      </c>
      <c r="E87" s="1456" t="s">
        <v>645</v>
      </c>
      <c r="F87" s="1457"/>
      <c r="G87" s="1458"/>
      <c r="H87" s="1456" t="s">
        <v>940</v>
      </c>
      <c r="I87" s="1447" t="s">
        <v>257</v>
      </c>
      <c r="J87" s="1447"/>
      <c r="K87" s="1448"/>
      <c r="L87" s="1449" t="s">
        <v>298</v>
      </c>
      <c r="M87" s="1452" t="s">
        <v>239</v>
      </c>
      <c r="N87" s="401"/>
      <c r="O87" s="129"/>
    </row>
    <row r="88" spans="1:15" s="123" customFormat="1" ht="16.5" customHeight="1">
      <c r="A88" s="1465"/>
      <c r="B88" s="1465"/>
      <c r="C88" s="402"/>
      <c r="D88" s="403"/>
      <c r="E88" s="1459"/>
      <c r="F88" s="1460"/>
      <c r="G88" s="1461"/>
      <c r="H88" s="1462"/>
      <c r="I88" s="1447"/>
      <c r="J88" s="1447"/>
      <c r="K88" s="1448"/>
      <c r="L88" s="1450"/>
      <c r="M88" s="1452"/>
      <c r="N88" s="401"/>
      <c r="O88" s="129"/>
    </row>
    <row r="89" spans="1:15" s="123" customFormat="1" ht="14.25" customHeight="1">
      <c r="A89" s="1465"/>
      <c r="B89" s="1465"/>
      <c r="C89" s="402" t="s">
        <v>100</v>
      </c>
      <c r="D89" s="403" t="s">
        <v>101</v>
      </c>
      <c r="E89" s="872" t="s">
        <v>102</v>
      </c>
      <c r="F89" s="407" t="s">
        <v>103</v>
      </c>
      <c r="G89" s="407" t="s">
        <v>99</v>
      </c>
      <c r="H89" s="1462"/>
      <c r="I89" s="872" t="s">
        <v>102</v>
      </c>
      <c r="J89" s="407" t="s">
        <v>103</v>
      </c>
      <c r="K89" s="407" t="s">
        <v>99</v>
      </c>
      <c r="L89" s="1451"/>
      <c r="M89" s="1452"/>
      <c r="N89" s="129"/>
      <c r="O89" s="129"/>
    </row>
    <row r="90" spans="1:15" s="123" customFormat="1" ht="15" customHeight="1">
      <c r="A90" s="404"/>
      <c r="B90" s="405"/>
      <c r="C90" s="405"/>
      <c r="D90" s="406" t="s">
        <v>105</v>
      </c>
      <c r="E90" s="390"/>
      <c r="F90" s="124" t="s">
        <v>106</v>
      </c>
      <c r="G90" s="407" t="s">
        <v>104</v>
      </c>
      <c r="H90" s="1475"/>
      <c r="I90" s="390"/>
      <c r="J90" s="124" t="s">
        <v>426</v>
      </c>
      <c r="K90" s="1306" t="s">
        <v>941</v>
      </c>
      <c r="L90" s="1306" t="s">
        <v>942</v>
      </c>
      <c r="M90" s="1307" t="s">
        <v>943</v>
      </c>
      <c r="N90" s="129"/>
      <c r="O90" s="129"/>
    </row>
    <row r="91" spans="1:15" s="123" customFormat="1" ht="18" customHeight="1">
      <c r="A91" s="1472" t="s">
        <v>155</v>
      </c>
      <c r="B91" s="1472"/>
      <c r="C91" s="142">
        <f>C92+C93+C94+C95+C97+C96</f>
        <v>252419558</v>
      </c>
      <c r="D91" s="142">
        <f>D92+D93+D94+D95+D97+D96</f>
        <v>276097664.23</v>
      </c>
      <c r="E91" s="142">
        <f>E92+E93+E94+E95+E97+E96</f>
        <v>71276474.42999999</v>
      </c>
      <c r="F91" s="1308">
        <f>F92+F93+F94+F95+F97+F96</f>
        <v>147871577.13</v>
      </c>
      <c r="G91" s="1314">
        <f>F91/F137*100</f>
        <v>8.170479928624</v>
      </c>
      <c r="H91" s="1367">
        <f>H92+H93+H94+H95+H97+H96</f>
        <v>128226087.1</v>
      </c>
      <c r="I91" s="150">
        <f>I92+I93+I94+I95+I97+I96</f>
        <v>23497513.189999998</v>
      </c>
      <c r="J91" s="142">
        <f>J92+J93+J94+J95+J96+J97</f>
        <v>59457686.18</v>
      </c>
      <c r="K91" s="1314">
        <f>J91/J137*100</f>
        <v>5.575695452430733</v>
      </c>
      <c r="L91" s="932">
        <f>SUM(L92:L97)</f>
        <v>216639978.04999998</v>
      </c>
      <c r="M91" s="932">
        <f>SUM(M92:M97)</f>
        <v>0</v>
      </c>
      <c r="N91" s="408"/>
      <c r="O91" s="129"/>
    </row>
    <row r="92" spans="1:14" ht="18" customHeight="1">
      <c r="A92" s="1470" t="s">
        <v>111</v>
      </c>
      <c r="B92" s="1470"/>
      <c r="C92" s="130">
        <v>11317997</v>
      </c>
      <c r="D92" s="130">
        <v>6177199</v>
      </c>
      <c r="E92" s="612">
        <f>F92-'[18]Anexo 2 _ DP FUNC'!F92</f>
        <v>894003.1200000001</v>
      </c>
      <c r="F92" s="509">
        <v>3864438.41</v>
      </c>
      <c r="G92" s="1315">
        <f>F92/F137*100</f>
        <v>0.21352525669318018</v>
      </c>
      <c r="H92" s="1318">
        <f aca="true" t="shared" si="16" ref="H92:H97">D92-F92</f>
        <v>2312760.59</v>
      </c>
      <c r="I92" s="1323">
        <f>J92-'[18]Anexo 2 _ DP FUNC'!J92</f>
        <v>534802.6900000001</v>
      </c>
      <c r="J92" s="130">
        <v>1391364.05</v>
      </c>
      <c r="K92" s="1315">
        <f>J92/J137*100</f>
        <v>0.13047635561826043</v>
      </c>
      <c r="L92" s="130">
        <f aca="true" t="shared" si="17" ref="L92:L97">D92-J92</f>
        <v>4785834.95</v>
      </c>
      <c r="M92" s="430"/>
      <c r="N92" s="128"/>
    </row>
    <row r="93" spans="1:14" ht="18" customHeight="1">
      <c r="A93" s="1470" t="s">
        <v>156</v>
      </c>
      <c r="B93" s="1470"/>
      <c r="C93" s="130">
        <v>3297960</v>
      </c>
      <c r="D93" s="130">
        <f>C93</f>
        <v>3297960</v>
      </c>
      <c r="E93" s="612">
        <f>F93-'[18]Anexo 2 _ DP FUNC'!F93</f>
        <v>0</v>
      </c>
      <c r="F93" s="509">
        <v>725876.82</v>
      </c>
      <c r="G93" s="1315">
        <f>F93/F137*100</f>
        <v>0.04010751831807026</v>
      </c>
      <c r="H93" s="1318">
        <f t="shared" si="16"/>
        <v>2572083.18</v>
      </c>
      <c r="I93" s="1323">
        <f>J93-'[18]Anexo 2 _ DP FUNC'!J93</f>
        <v>306524.99999999994</v>
      </c>
      <c r="J93" s="130">
        <v>725876.82</v>
      </c>
      <c r="K93" s="1315">
        <f>J93/J137*100</f>
        <v>0.0680697205748359</v>
      </c>
      <c r="L93" s="130">
        <f t="shared" si="17"/>
        <v>2572083.18</v>
      </c>
      <c r="M93" s="430"/>
      <c r="N93" s="128"/>
    </row>
    <row r="94" spans="1:14" ht="18" customHeight="1">
      <c r="A94" s="380" t="s">
        <v>157</v>
      </c>
      <c r="B94" s="384"/>
      <c r="C94" s="130"/>
      <c r="D94" s="130"/>
      <c r="E94" s="612"/>
      <c r="F94" s="509"/>
      <c r="G94" s="1315">
        <f>F94/F137*100</f>
        <v>0</v>
      </c>
      <c r="H94" s="1318">
        <f t="shared" si="16"/>
        <v>0</v>
      </c>
      <c r="I94" s="1323">
        <f>J94-'[18]Anexo 2 _ DP FUNC'!J94</f>
        <v>0</v>
      </c>
      <c r="J94" s="130"/>
      <c r="K94" s="1315">
        <f>J94/J137*100</f>
        <v>0</v>
      </c>
      <c r="L94" s="130">
        <f t="shared" si="17"/>
        <v>0</v>
      </c>
      <c r="M94" s="430"/>
      <c r="N94" s="128"/>
    </row>
    <row r="95" spans="1:14" ht="18" customHeight="1">
      <c r="A95" s="380" t="s">
        <v>158</v>
      </c>
      <c r="B95" s="384"/>
      <c r="C95" s="130">
        <v>169434646</v>
      </c>
      <c r="D95" s="130">
        <v>198233550.23</v>
      </c>
      <c r="E95" s="612">
        <f>F95-'[18]Anexo 2 _ DP FUNC'!F95</f>
        <v>34992182.099999994</v>
      </c>
      <c r="F95" s="509">
        <v>80338666.99</v>
      </c>
      <c r="G95" s="1315">
        <f>F95/F137*100</f>
        <v>4.439023907597396</v>
      </c>
      <c r="H95" s="1318">
        <f t="shared" si="16"/>
        <v>117894883.24</v>
      </c>
      <c r="I95" s="1323">
        <f>J95-'[18]Anexo 2 _ DP FUNC'!J95</f>
        <v>9957649.670000002</v>
      </c>
      <c r="J95" s="130">
        <v>24932285.12</v>
      </c>
      <c r="K95" s="1315">
        <f>J95/J137*100</f>
        <v>2.338046393891651</v>
      </c>
      <c r="L95" s="130">
        <f t="shared" si="17"/>
        <v>173301265.10999998</v>
      </c>
      <c r="M95" s="430"/>
      <c r="N95" s="128"/>
    </row>
    <row r="96" spans="1:14" ht="18" customHeight="1">
      <c r="A96" s="380" t="s">
        <v>159</v>
      </c>
      <c r="B96" s="384"/>
      <c r="C96" s="130">
        <v>68251115</v>
      </c>
      <c r="D96" s="130">
        <v>68271115</v>
      </c>
      <c r="E96" s="612">
        <f>F96-'[18]Anexo 2 _ DP FUNC'!F96</f>
        <v>35390289.21</v>
      </c>
      <c r="F96" s="509">
        <v>62940176.63</v>
      </c>
      <c r="G96" s="1315">
        <f>F96/F137*100</f>
        <v>3.477689626637069</v>
      </c>
      <c r="H96" s="1318">
        <f t="shared" si="16"/>
        <v>5330938.369999997</v>
      </c>
      <c r="I96" s="1323">
        <f>J96-'[18]Anexo 2 _ DP FUNC'!J96</f>
        <v>12697989.779999997</v>
      </c>
      <c r="J96" s="130">
        <v>32405968.06</v>
      </c>
      <c r="K96" s="1315">
        <f>J96/J137*100</f>
        <v>3.0388974134774784</v>
      </c>
      <c r="L96" s="130">
        <f t="shared" si="17"/>
        <v>35865146.94</v>
      </c>
      <c r="M96" s="430"/>
      <c r="N96" s="128"/>
    </row>
    <row r="97" spans="1:14" ht="18" customHeight="1">
      <c r="A97" s="132" t="s">
        <v>813</v>
      </c>
      <c r="B97" s="411"/>
      <c r="C97" s="133">
        <v>117840</v>
      </c>
      <c r="D97" s="133">
        <f>C97</f>
        <v>117840</v>
      </c>
      <c r="E97" s="612">
        <f>F97-'[18]Anexo 2 _ DP FUNC'!F97</f>
        <v>0</v>
      </c>
      <c r="F97" s="509">
        <v>2418.28</v>
      </c>
      <c r="G97" s="1316">
        <f>F97/F137*100</f>
        <v>0.00013361937828269949</v>
      </c>
      <c r="H97" s="1318">
        <f t="shared" si="16"/>
        <v>115421.72</v>
      </c>
      <c r="I97" s="1323">
        <f>J97-'[18]Anexo 2 _ DP FUNC'!J97</f>
        <v>546.0500000000002</v>
      </c>
      <c r="J97" s="133">
        <v>2192.13</v>
      </c>
      <c r="K97" s="1316">
        <f>J97/J137*100</f>
        <v>0.00020556886850817892</v>
      </c>
      <c r="L97" s="130">
        <f t="shared" si="17"/>
        <v>115647.87</v>
      </c>
      <c r="M97" s="933"/>
      <c r="N97" s="128"/>
    </row>
    <row r="98" spans="1:15" s="123" customFormat="1" ht="18" customHeight="1">
      <c r="A98" s="1472" t="s">
        <v>160</v>
      </c>
      <c r="B98" s="1472"/>
      <c r="C98" s="149">
        <f aca="true" t="shared" si="18" ref="C98:L98">C99</f>
        <v>27692670</v>
      </c>
      <c r="D98" s="149">
        <f t="shared" si="18"/>
        <v>27092670</v>
      </c>
      <c r="E98" s="511">
        <f t="shared" si="18"/>
        <v>0</v>
      </c>
      <c r="F98" s="1309">
        <f t="shared" si="18"/>
        <v>0</v>
      </c>
      <c r="G98" s="1314">
        <f>F98/F137*100</f>
        <v>0</v>
      </c>
      <c r="H98" s="1004">
        <f t="shared" si="18"/>
        <v>27092670</v>
      </c>
      <c r="I98" s="1004">
        <f t="shared" si="18"/>
        <v>0</v>
      </c>
      <c r="J98" s="432">
        <f t="shared" si="18"/>
        <v>0</v>
      </c>
      <c r="K98" s="1314">
        <f>J98/J137*100</f>
        <v>0</v>
      </c>
      <c r="L98" s="515">
        <f t="shared" si="18"/>
        <v>27092670</v>
      </c>
      <c r="M98" s="934">
        <f>M99</f>
        <v>0</v>
      </c>
      <c r="N98" s="408"/>
      <c r="O98" s="129"/>
    </row>
    <row r="99" spans="1:14" ht="18" customHeight="1">
      <c r="A99" s="1469" t="s">
        <v>161</v>
      </c>
      <c r="B99" s="1469"/>
      <c r="C99" s="133">
        <v>27692670</v>
      </c>
      <c r="D99" s="134">
        <v>27092670</v>
      </c>
      <c r="E99" s="613">
        <f>F99-'[18]Anexo 2 _ DP FUNC'!F99</f>
        <v>0</v>
      </c>
      <c r="F99" s="517">
        <v>0</v>
      </c>
      <c r="G99" s="1316">
        <f>F99/F137*100</f>
        <v>0</v>
      </c>
      <c r="H99" s="1318">
        <f>D99-F99</f>
        <v>27092670</v>
      </c>
      <c r="I99" s="771">
        <f>J99-'[18]Anexo 2 _ DP FUNC'!J99</f>
        <v>0</v>
      </c>
      <c r="J99" s="137">
        <v>0</v>
      </c>
      <c r="K99" s="1316">
        <f>J99/J137*100</f>
        <v>0</v>
      </c>
      <c r="L99" s="130">
        <f>D99-J99</f>
        <v>27092670</v>
      </c>
      <c r="M99" s="430"/>
      <c r="N99" s="128"/>
    </row>
    <row r="100" spans="1:15" s="123" customFormat="1" ht="18" customHeight="1">
      <c r="A100" s="1472" t="s">
        <v>162</v>
      </c>
      <c r="B100" s="1472"/>
      <c r="C100" s="142">
        <f aca="true" t="shared" si="19" ref="C100:J100">C102+C101</f>
        <v>129525552</v>
      </c>
      <c r="D100" s="419">
        <f t="shared" si="19"/>
        <v>150627696.87</v>
      </c>
      <c r="E100" s="612">
        <f t="shared" si="19"/>
        <v>5777986.560000005</v>
      </c>
      <c r="F100" s="1310">
        <f t="shared" si="19"/>
        <v>124865903.76</v>
      </c>
      <c r="G100" s="1314">
        <f>F100/F137*100</f>
        <v>6.89932697169831</v>
      </c>
      <c r="H100" s="1054">
        <f t="shared" si="19"/>
        <v>25761793.11</v>
      </c>
      <c r="I100" s="1054">
        <f t="shared" si="19"/>
        <v>10997681.09</v>
      </c>
      <c r="J100" s="143">
        <f t="shared" si="19"/>
        <v>86726343.52</v>
      </c>
      <c r="K100" s="1314">
        <f>J100/J137*100</f>
        <v>8.132837152567609</v>
      </c>
      <c r="L100" s="935">
        <f>L101+L102</f>
        <v>63901353.35</v>
      </c>
      <c r="M100" s="935">
        <f>M101+M102</f>
        <v>0</v>
      </c>
      <c r="N100" s="408"/>
      <c r="O100" s="129"/>
    </row>
    <row r="101" spans="1:14" ht="18" customHeight="1">
      <c r="A101" s="1470" t="s">
        <v>159</v>
      </c>
      <c r="B101" s="1470"/>
      <c r="C101" s="144">
        <v>102200000</v>
      </c>
      <c r="D101" s="145">
        <v>122200000</v>
      </c>
      <c r="E101" s="612">
        <f>F101-'[18]Anexo 2 _ DP FUNC'!F101</f>
        <v>-0.8799999952316284</v>
      </c>
      <c r="F101" s="516">
        <v>115937306.11</v>
      </c>
      <c r="G101" s="1315">
        <f>F101/F137*100</f>
        <v>6.40598721495824</v>
      </c>
      <c r="H101" s="1318">
        <f>D101-F101</f>
        <v>6262693.890000001</v>
      </c>
      <c r="I101" s="771">
        <f>J101-'[18]Anexo 2 _ DP FUNC'!J101</f>
        <v>9239698.75</v>
      </c>
      <c r="J101" s="393">
        <v>84311183.25</v>
      </c>
      <c r="K101" s="1315">
        <f>J101/J137*100</f>
        <v>7.906353429444524</v>
      </c>
      <c r="L101" s="130">
        <f>D101-J101</f>
        <v>37888816.75</v>
      </c>
      <c r="M101" s="430"/>
      <c r="N101" s="128"/>
    </row>
    <row r="102" spans="1:14" ht="18" customHeight="1">
      <c r="A102" s="1469" t="s">
        <v>163</v>
      </c>
      <c r="B102" s="1469"/>
      <c r="C102" s="133">
        <v>27325552</v>
      </c>
      <c r="D102" s="136">
        <v>28427696.87</v>
      </c>
      <c r="E102" s="612">
        <f>F102-'[18]Anexo 2 _ DP FUNC'!F102</f>
        <v>5777987.44</v>
      </c>
      <c r="F102" s="517">
        <v>8928597.65</v>
      </c>
      <c r="G102" s="1316">
        <f>F102/F137*100</f>
        <v>0.493339756740068</v>
      </c>
      <c r="H102" s="1319">
        <f>D102-F102</f>
        <v>19499099.22</v>
      </c>
      <c r="I102" s="771">
        <f>J102-'[18]Anexo 2 _ DP FUNC'!J102</f>
        <v>1757982.3399999999</v>
      </c>
      <c r="J102" s="137">
        <v>2415160.27</v>
      </c>
      <c r="K102" s="1316">
        <f>J102/J137*100</f>
        <v>0.2264837231230848</v>
      </c>
      <c r="L102" s="1074">
        <f>D102-J102</f>
        <v>26012536.6</v>
      </c>
      <c r="M102" s="933"/>
      <c r="N102" s="128"/>
    </row>
    <row r="103" spans="1:15" s="123" customFormat="1" ht="18" customHeight="1">
      <c r="A103" s="1472" t="s">
        <v>164</v>
      </c>
      <c r="B103" s="1472"/>
      <c r="C103" s="151">
        <f aca="true" t="shared" si="20" ref="C103:L103">C104+C105+C106+C107</f>
        <v>1295735</v>
      </c>
      <c r="D103" s="151">
        <f t="shared" si="20"/>
        <v>1295735</v>
      </c>
      <c r="E103" s="900">
        <f t="shared" si="20"/>
        <v>5560</v>
      </c>
      <c r="F103" s="151">
        <f t="shared" si="20"/>
        <v>5560</v>
      </c>
      <c r="G103" s="1314">
        <f>F103/F137*100</f>
        <v>0.00030721163109805695</v>
      </c>
      <c r="H103" s="1368">
        <f t="shared" si="20"/>
        <v>1290175</v>
      </c>
      <c r="I103" s="1369">
        <f t="shared" si="20"/>
        <v>0</v>
      </c>
      <c r="J103" s="1005">
        <f t="shared" si="20"/>
        <v>0</v>
      </c>
      <c r="K103" s="1314">
        <f>J103/J137*100</f>
        <v>0</v>
      </c>
      <c r="L103" s="151">
        <f t="shared" si="20"/>
        <v>1295735</v>
      </c>
      <c r="M103" s="936">
        <f>M104+M105+M106+M107</f>
        <v>0</v>
      </c>
      <c r="N103" s="408"/>
      <c r="O103" s="129"/>
    </row>
    <row r="104" spans="1:14" ht="18" customHeight="1">
      <c r="A104" s="1470" t="s">
        <v>111</v>
      </c>
      <c r="B104" s="1470"/>
      <c r="C104" s="130"/>
      <c r="D104" s="130"/>
      <c r="E104" s="612">
        <f>F104-'[17]Anexo 2 _ DP FUNC'!F104</f>
        <v>0</v>
      </c>
      <c r="F104" s="1311"/>
      <c r="G104" s="1315">
        <f>F104/F137*100</f>
        <v>0</v>
      </c>
      <c r="H104" s="1318">
        <f>D104-F104</f>
        <v>0</v>
      </c>
      <c r="I104" s="771">
        <f>J104-'[18]Anexo 2 _ DP FUNC'!J104</f>
        <v>0</v>
      </c>
      <c r="J104" s="135"/>
      <c r="K104" s="1315">
        <f>J104/J137*100</f>
        <v>0</v>
      </c>
      <c r="L104" s="130">
        <f>D104-J104</f>
        <v>0</v>
      </c>
      <c r="M104" s="425"/>
      <c r="N104" s="128"/>
    </row>
    <row r="105" spans="1:14" ht="18" customHeight="1">
      <c r="A105" s="1470" t="s">
        <v>165</v>
      </c>
      <c r="B105" s="1470"/>
      <c r="C105" s="130"/>
      <c r="D105" s="130"/>
      <c r="E105" s="612">
        <f>F105-'[17]Anexo 2 _ DP FUNC'!F105</f>
        <v>0</v>
      </c>
      <c r="F105" s="1311"/>
      <c r="G105" s="1315">
        <f>F105/F137*100</f>
        <v>0</v>
      </c>
      <c r="H105" s="1318">
        <f>D105-F105</f>
        <v>0</v>
      </c>
      <c r="I105" s="771">
        <f>J105-'[18]Anexo 2 _ DP FUNC'!J105</f>
        <v>0</v>
      </c>
      <c r="J105" s="135"/>
      <c r="K105" s="1315">
        <f>J105/J137*100</f>
        <v>0</v>
      </c>
      <c r="L105" s="130">
        <f>D105-J105</f>
        <v>0</v>
      </c>
      <c r="M105" s="425"/>
      <c r="N105" s="128"/>
    </row>
    <row r="106" spans="1:14" ht="18" customHeight="1">
      <c r="A106" s="384" t="s">
        <v>518</v>
      </c>
      <c r="B106" s="384"/>
      <c r="C106" s="130"/>
      <c r="D106" s="130"/>
      <c r="E106" s="612">
        <f>F106-'[17]Anexo 2 _ DP FUNC'!F106</f>
        <v>0</v>
      </c>
      <c r="F106" s="1311"/>
      <c r="G106" s="1315">
        <f>F106/F137*100</f>
        <v>0</v>
      </c>
      <c r="H106" s="1318">
        <f>D106-F106</f>
        <v>0</v>
      </c>
      <c r="I106" s="771">
        <f>J106-'[18]Anexo 2 _ DP FUNC'!J106</f>
        <v>0</v>
      </c>
      <c r="J106" s="135"/>
      <c r="K106" s="1315">
        <f>J106/J137*100</f>
        <v>0</v>
      </c>
      <c r="L106" s="130">
        <f>D106-J106</f>
        <v>0</v>
      </c>
      <c r="M106" s="425"/>
      <c r="N106" s="128"/>
    </row>
    <row r="107" spans="1:14" ht="18" customHeight="1">
      <c r="A107" s="1469" t="s">
        <v>166</v>
      </c>
      <c r="B107" s="1469"/>
      <c r="C107" s="133">
        <v>1295735</v>
      </c>
      <c r="D107" s="133">
        <f>C107</f>
        <v>1295735</v>
      </c>
      <c r="E107" s="612">
        <f>F107-'[18]Anexo 2 _ DP FUNC'!F107</f>
        <v>5560</v>
      </c>
      <c r="F107" s="1312">
        <v>5560</v>
      </c>
      <c r="G107" s="1316">
        <f>F107/F137*100</f>
        <v>0.00030721163109805695</v>
      </c>
      <c r="H107" s="1318">
        <f>D107-F107</f>
        <v>1290175</v>
      </c>
      <c r="I107" s="771">
        <f>J107-'[18]Anexo 2 _ DP FUNC'!J107</f>
        <v>0</v>
      </c>
      <c r="J107" s="137">
        <v>0</v>
      </c>
      <c r="K107" s="1316">
        <f>J107/J137*100</f>
        <v>0</v>
      </c>
      <c r="L107" s="130">
        <f>D107-J107</f>
        <v>1295735</v>
      </c>
      <c r="M107" s="929"/>
      <c r="N107" s="128"/>
    </row>
    <row r="108" spans="1:15" s="123" customFormat="1" ht="18" customHeight="1">
      <c r="A108" s="1472" t="s">
        <v>167</v>
      </c>
      <c r="B108" s="1472"/>
      <c r="C108" s="146">
        <f aca="true" t="shared" si="21" ref="C108:L108">SUM(C109:C112)</f>
        <v>4990901</v>
      </c>
      <c r="D108" s="146">
        <f t="shared" si="21"/>
        <v>3016901</v>
      </c>
      <c r="E108" s="506">
        <f t="shared" si="21"/>
        <v>0</v>
      </c>
      <c r="F108" s="514">
        <f t="shared" si="21"/>
        <v>698790</v>
      </c>
      <c r="G108" s="1314">
        <f>F108/F137*100</f>
        <v>0.03861086613219626</v>
      </c>
      <c r="H108" s="899">
        <f t="shared" si="21"/>
        <v>2318111</v>
      </c>
      <c r="I108" s="899">
        <f>SUM(I109:I112)</f>
        <v>247357.13</v>
      </c>
      <c r="J108" s="127">
        <f t="shared" si="21"/>
        <v>394481.52</v>
      </c>
      <c r="K108" s="1314">
        <f>J108/J137*100</f>
        <v>0.03699284244720274</v>
      </c>
      <c r="L108" s="514">
        <f t="shared" si="21"/>
        <v>2622419.48</v>
      </c>
      <c r="M108" s="928">
        <f>SUM(M109:M112)</f>
        <v>0</v>
      </c>
      <c r="N108" s="408"/>
      <c r="O108" s="129"/>
    </row>
    <row r="109" spans="1:42" ht="18" customHeight="1">
      <c r="A109" s="1470" t="s">
        <v>111</v>
      </c>
      <c r="B109" s="1470"/>
      <c r="C109" s="141"/>
      <c r="D109" s="141"/>
      <c r="E109" s="612">
        <f>F109-'[17]Anexo 2 _ DP FUNC'!F109</f>
        <v>0</v>
      </c>
      <c r="F109" s="509"/>
      <c r="G109" s="1315">
        <f>F109/F137*100</f>
        <v>0</v>
      </c>
      <c r="H109" s="1318">
        <f>D109-F109</f>
        <v>0</v>
      </c>
      <c r="I109" s="771">
        <f>J109-'[18]Anexo 2 _ DP FUNC'!J109</f>
        <v>0</v>
      </c>
      <c r="J109" s="131"/>
      <c r="K109" s="1315">
        <f>J109/J137*100</f>
        <v>0</v>
      </c>
      <c r="L109" s="130">
        <f>D109-J109</f>
        <v>0</v>
      </c>
      <c r="M109" s="430"/>
      <c r="N109" s="128"/>
      <c r="AP109" s="501"/>
    </row>
    <row r="110" spans="1:14" ht="18" customHeight="1">
      <c r="A110" s="1470" t="s">
        <v>168</v>
      </c>
      <c r="B110" s="1470"/>
      <c r="C110" s="141">
        <v>907000</v>
      </c>
      <c r="D110" s="141">
        <v>572000</v>
      </c>
      <c r="E110" s="612">
        <f>F110-'[18]Anexo 2 _ DP FUNC'!F110</f>
        <v>0</v>
      </c>
      <c r="F110" s="509">
        <v>0</v>
      </c>
      <c r="G110" s="1315">
        <f>F110/F137*100</f>
        <v>0</v>
      </c>
      <c r="H110" s="1318">
        <f>D110-F110</f>
        <v>572000</v>
      </c>
      <c r="I110" s="771">
        <f>J110-'[18]Anexo 2 _ DP FUNC'!J110</f>
        <v>0</v>
      </c>
      <c r="J110" s="131">
        <v>0</v>
      </c>
      <c r="K110" s="1315">
        <f>J110/J137*100</f>
        <v>0</v>
      </c>
      <c r="L110" s="130">
        <f>D110-J110</f>
        <v>572000</v>
      </c>
      <c r="M110" s="430"/>
      <c r="N110" s="128"/>
    </row>
    <row r="111" spans="1:14" ht="18" customHeight="1">
      <c r="A111" s="1470" t="s">
        <v>814</v>
      </c>
      <c r="B111" s="1470"/>
      <c r="C111" s="130"/>
      <c r="D111" s="141"/>
      <c r="E111" s="612">
        <f>F111-'[17]Anexo 2 _ DP FUNC'!F111</f>
        <v>0</v>
      </c>
      <c r="F111" s="509"/>
      <c r="G111" s="1315">
        <f>F111/F137*100</f>
        <v>0</v>
      </c>
      <c r="H111" s="1318">
        <f>D111-F111</f>
        <v>0</v>
      </c>
      <c r="I111" s="771">
        <f>J111-'[18]Anexo 2 _ DP FUNC'!J111</f>
        <v>0</v>
      </c>
      <c r="J111" s="135"/>
      <c r="K111" s="1315">
        <f>J111/J137*100</f>
        <v>0</v>
      </c>
      <c r="L111" s="130">
        <f>D111-J111</f>
        <v>0</v>
      </c>
      <c r="M111" s="430"/>
      <c r="N111" s="128"/>
    </row>
    <row r="112" spans="1:14" ht="18" customHeight="1">
      <c r="A112" s="1469" t="s">
        <v>169</v>
      </c>
      <c r="B112" s="1469"/>
      <c r="C112" s="133">
        <v>4083901</v>
      </c>
      <c r="D112" s="134">
        <v>2444901</v>
      </c>
      <c r="E112" s="612">
        <f>F112-'[18]Anexo 2 _ DP FUNC'!F112</f>
        <v>0</v>
      </c>
      <c r="F112" s="517">
        <v>698790</v>
      </c>
      <c r="G112" s="1316">
        <f>F112/F137*100</f>
        <v>0.03861086613219626</v>
      </c>
      <c r="H112" s="1319">
        <f>D112-F112</f>
        <v>1746111</v>
      </c>
      <c r="I112" s="771">
        <f>J112-'[18]Anexo 2 _ DP FUNC'!J112</f>
        <v>247357.13</v>
      </c>
      <c r="J112" s="137">
        <v>394481.52</v>
      </c>
      <c r="K112" s="1316">
        <f>J112/J137*100</f>
        <v>0.03699284244720274</v>
      </c>
      <c r="L112" s="1074">
        <f>D112-J112</f>
        <v>2050419.48</v>
      </c>
      <c r="M112" s="933"/>
      <c r="N112" s="128"/>
    </row>
    <row r="113" spans="1:15" s="123" customFormat="1" ht="18" customHeight="1">
      <c r="A113" s="1472" t="s">
        <v>170</v>
      </c>
      <c r="B113" s="1472"/>
      <c r="C113" s="146">
        <f aca="true" t="shared" si="22" ref="C113:L113">SUM(C114:C116)</f>
        <v>6952761</v>
      </c>
      <c r="D113" s="146">
        <f t="shared" si="22"/>
        <v>12889214.61</v>
      </c>
      <c r="E113" s="506">
        <f t="shared" si="22"/>
        <v>4160327.78</v>
      </c>
      <c r="F113" s="508">
        <f t="shared" si="22"/>
        <v>10038125.62</v>
      </c>
      <c r="G113" s="1314">
        <f>F113/F137*100</f>
        <v>0.554645493684783</v>
      </c>
      <c r="H113" s="1336">
        <f t="shared" si="22"/>
        <v>2851088.9900000007</v>
      </c>
      <c r="I113" s="899">
        <f>SUM(I114:I116)</f>
        <v>2834527.87</v>
      </c>
      <c r="J113" s="427">
        <f t="shared" si="22"/>
        <v>5836523.07</v>
      </c>
      <c r="K113" s="1314">
        <f>J113/J137*100</f>
        <v>0.5473249504006527</v>
      </c>
      <c r="L113" s="508">
        <f t="shared" si="22"/>
        <v>7052691.54</v>
      </c>
      <c r="M113" s="931">
        <f>SUM(M114:M116)</f>
        <v>0</v>
      </c>
      <c r="N113" s="408"/>
      <c r="O113" s="129"/>
    </row>
    <row r="114" spans="1:14" ht="18" customHeight="1">
      <c r="A114" s="380" t="s">
        <v>117</v>
      </c>
      <c r="B114" s="385"/>
      <c r="C114" s="141"/>
      <c r="D114" s="141"/>
      <c r="E114" s="612">
        <f>F114-'[17]Anexo 2 _ DP FUNC'!F114</f>
        <v>0</v>
      </c>
      <c r="F114" s="509"/>
      <c r="G114" s="1315">
        <f>F114/F137*100</f>
        <v>0</v>
      </c>
      <c r="H114" s="1318">
        <f>D114-F114</f>
        <v>0</v>
      </c>
      <c r="I114" s="771">
        <f>J114-'[18]Anexo 2 _ DP FUNC'!J114</f>
        <v>0</v>
      </c>
      <c r="J114" s="131"/>
      <c r="K114" s="1315">
        <f>J114/J137*100</f>
        <v>0</v>
      </c>
      <c r="L114" s="130">
        <f>D114-J114</f>
        <v>0</v>
      </c>
      <c r="M114" s="425"/>
      <c r="N114" s="128"/>
    </row>
    <row r="115" spans="1:14" ht="18" customHeight="1">
      <c r="A115" s="1470" t="s">
        <v>111</v>
      </c>
      <c r="B115" s="1470"/>
      <c r="C115" s="141">
        <v>4342761</v>
      </c>
      <c r="D115" s="141">
        <v>4723712.03</v>
      </c>
      <c r="E115" s="612">
        <f>F115-'[18]Anexo 2 _ DP FUNC'!F115</f>
        <v>359745.25</v>
      </c>
      <c r="F115" s="509">
        <v>3561312.98</v>
      </c>
      <c r="G115" s="1315">
        <f>F115/F137*100</f>
        <v>0.19677639738066216</v>
      </c>
      <c r="H115" s="1318">
        <f>D115-F115</f>
        <v>1162399.0500000003</v>
      </c>
      <c r="I115" s="771">
        <f>J115-'[18]Anexo 2 _ DP FUNC'!J115</f>
        <v>697987.47</v>
      </c>
      <c r="J115" s="131">
        <v>1883672.67</v>
      </c>
      <c r="K115" s="1315">
        <f>J115/J137*100</f>
        <v>0.17664301816574757</v>
      </c>
      <c r="L115" s="130">
        <f>D115-J115</f>
        <v>2840039.3600000003</v>
      </c>
      <c r="M115" s="425"/>
      <c r="N115" s="128"/>
    </row>
    <row r="116" spans="1:14" ht="18" customHeight="1">
      <c r="A116" s="1476" t="s">
        <v>171</v>
      </c>
      <c r="B116" s="1476"/>
      <c r="C116" s="898">
        <v>2610000</v>
      </c>
      <c r="D116" s="963">
        <v>8165502.58</v>
      </c>
      <c r="E116" s="613">
        <f>F116-'[18]Anexo 2 _ DP FUNC'!F116</f>
        <v>3800582.53</v>
      </c>
      <c r="F116" s="517">
        <v>6476812.64</v>
      </c>
      <c r="G116" s="1316">
        <f>F116/F137*100</f>
        <v>0.3578690963041209</v>
      </c>
      <c r="H116" s="1318">
        <f>D116-F116</f>
        <v>1688689.9400000004</v>
      </c>
      <c r="I116" s="771">
        <f>J116-'[18]Anexo 2 _ DP FUNC'!J116</f>
        <v>2136540.4</v>
      </c>
      <c r="J116" s="964">
        <v>3952850.4</v>
      </c>
      <c r="K116" s="1316">
        <f>J116/J137*100</f>
        <v>0.370681932234905</v>
      </c>
      <c r="L116" s="130">
        <f>D116-J116</f>
        <v>4212652.18</v>
      </c>
      <c r="M116" s="426"/>
      <c r="N116" s="128"/>
    </row>
    <row r="117" spans="1:15" s="123" customFormat="1" ht="18" customHeight="1">
      <c r="A117" s="409" t="s">
        <v>815</v>
      </c>
      <c r="B117" s="385"/>
      <c r="C117" s="146">
        <f aca="true" t="shared" si="23" ref="C117:L117">C118</f>
        <v>0</v>
      </c>
      <c r="D117" s="424">
        <f t="shared" si="23"/>
        <v>7580000</v>
      </c>
      <c r="E117" s="965">
        <f t="shared" si="23"/>
        <v>0</v>
      </c>
      <c r="F117" s="514">
        <f t="shared" si="23"/>
        <v>199820.11</v>
      </c>
      <c r="G117" s="1314">
        <f>F117/F137*100</f>
        <v>0.011040838474693013</v>
      </c>
      <c r="H117" s="899">
        <f t="shared" si="23"/>
        <v>7380179.89</v>
      </c>
      <c r="I117" s="899">
        <f t="shared" si="23"/>
        <v>0</v>
      </c>
      <c r="J117" s="423">
        <f t="shared" si="23"/>
        <v>199820.11</v>
      </c>
      <c r="K117" s="1314">
        <f>J117/J137*100</f>
        <v>0.0187383019792986</v>
      </c>
      <c r="L117" s="966">
        <f t="shared" si="23"/>
        <v>7380179.89</v>
      </c>
      <c r="M117" s="967">
        <f>M118</f>
        <v>0</v>
      </c>
      <c r="N117" s="408"/>
      <c r="O117" s="129"/>
    </row>
    <row r="118" spans="1:14" ht="18" customHeight="1">
      <c r="A118" s="961" t="s">
        <v>816</v>
      </c>
      <c r="B118" s="962"/>
      <c r="C118" s="1341">
        <v>0</v>
      </c>
      <c r="D118" s="426">
        <v>7580000</v>
      </c>
      <c r="E118" s="975">
        <f>F118-'[18]Anexo 2 _ DP FUNC'!F118</f>
        <v>0</v>
      </c>
      <c r="F118" s="517">
        <v>199820.11</v>
      </c>
      <c r="G118" s="1316">
        <f>F118/F137*100</f>
        <v>0.011040838474693013</v>
      </c>
      <c r="H118" s="1318">
        <f>D118-F118</f>
        <v>7380179.89</v>
      </c>
      <c r="I118" s="769">
        <f>J118-'[18]Anexo 2 _ DP FUNC'!J118</f>
        <v>0</v>
      </c>
      <c r="J118" s="964">
        <v>199820.11</v>
      </c>
      <c r="K118" s="1316">
        <f>J118/J137*100</f>
        <v>0.0187383019792986</v>
      </c>
      <c r="L118" s="1074">
        <f>D118-J118</f>
        <v>7380179.89</v>
      </c>
      <c r="M118" s="426"/>
      <c r="N118" s="128"/>
    </row>
    <row r="119" spans="1:15" s="123" customFormat="1" ht="18" customHeight="1">
      <c r="A119" s="1472" t="s">
        <v>172</v>
      </c>
      <c r="B119" s="1472"/>
      <c r="C119" s="146">
        <f aca="true" t="shared" si="24" ref="C119:J119">C122+C120+C121</f>
        <v>24910682</v>
      </c>
      <c r="D119" s="146">
        <f t="shared" si="24"/>
        <v>25560682</v>
      </c>
      <c r="E119" s="960">
        <f t="shared" si="24"/>
        <v>3470263.200000001</v>
      </c>
      <c r="F119" s="508">
        <f t="shared" si="24"/>
        <v>18607962.86</v>
      </c>
      <c r="G119" s="1314">
        <f>F119/F137*100</f>
        <v>1.0281623420202632</v>
      </c>
      <c r="H119" s="899">
        <f t="shared" si="24"/>
        <v>6952719.14</v>
      </c>
      <c r="I119" s="1336">
        <f>I122+I120+I121</f>
        <v>5620793.2700000005</v>
      </c>
      <c r="J119" s="423">
        <f t="shared" si="24"/>
        <v>11925979.450000001</v>
      </c>
      <c r="K119" s="1314">
        <f>J119/J137*100</f>
        <v>1.1183689386068774</v>
      </c>
      <c r="L119" s="928">
        <f>L120+L121+L122</f>
        <v>13634702.549999999</v>
      </c>
      <c r="M119" s="928">
        <f>M120+M121+M122</f>
        <v>0</v>
      </c>
      <c r="N119" s="408"/>
      <c r="O119" s="129"/>
    </row>
    <row r="120" spans="1:14" ht="18" customHeight="1">
      <c r="A120" s="1470" t="s">
        <v>119</v>
      </c>
      <c r="B120" s="1470"/>
      <c r="C120" s="130">
        <v>7020706</v>
      </c>
      <c r="D120" s="141">
        <f>C120</f>
        <v>7020706</v>
      </c>
      <c r="E120" s="612">
        <f>F120-'[18]Anexo 2 _ DP FUNC'!F120</f>
        <v>99277.59999999963</v>
      </c>
      <c r="F120" s="509">
        <v>6308840.89</v>
      </c>
      <c r="G120" s="1315">
        <f>F120/F137*100</f>
        <v>0.34858800362500303</v>
      </c>
      <c r="H120" s="1318">
        <f>D120-F120</f>
        <v>711865.1100000003</v>
      </c>
      <c r="I120" s="771">
        <f>J120-'[18]Anexo 2 _ DP FUNC'!J120</f>
        <v>1115854.76</v>
      </c>
      <c r="J120" s="135">
        <v>3160942.31</v>
      </c>
      <c r="K120" s="1315">
        <f>J120/J137*100</f>
        <v>0.2964200727540471</v>
      </c>
      <c r="L120" s="130">
        <f>D120-J120</f>
        <v>3859763.69</v>
      </c>
      <c r="M120" s="430"/>
      <c r="N120" s="128"/>
    </row>
    <row r="121" spans="1:14" ht="18" customHeight="1">
      <c r="A121" s="380" t="s">
        <v>158</v>
      </c>
      <c r="B121" s="384"/>
      <c r="C121" s="130"/>
      <c r="D121" s="141"/>
      <c r="E121" s="612">
        <f>F121-'[18]Anexo 2 _ DP FUNC'!F121</f>
        <v>0</v>
      </c>
      <c r="F121" s="509"/>
      <c r="G121" s="1315">
        <f>F121/F137*100</f>
        <v>0</v>
      </c>
      <c r="H121" s="1318">
        <f>D121-F121</f>
        <v>0</v>
      </c>
      <c r="I121" s="771">
        <f>J121-'[18]Anexo 2 _ DP FUNC'!J121</f>
        <v>0</v>
      </c>
      <c r="J121" s="135"/>
      <c r="K121" s="1315">
        <f>J121/J137*100</f>
        <v>0</v>
      </c>
      <c r="L121" s="130">
        <f>D121-J121</f>
        <v>0</v>
      </c>
      <c r="M121" s="430"/>
      <c r="N121" s="128"/>
    </row>
    <row r="122" spans="1:14" ht="18" customHeight="1">
      <c r="A122" s="1469" t="s">
        <v>173</v>
      </c>
      <c r="B122" s="1469"/>
      <c r="C122" s="133">
        <v>17889976</v>
      </c>
      <c r="D122" s="134">
        <v>18539976</v>
      </c>
      <c r="E122" s="612">
        <f>F122-'[18]Anexo 2 _ DP FUNC'!F122</f>
        <v>3370985.6000000015</v>
      </c>
      <c r="F122" s="517">
        <v>12299121.97</v>
      </c>
      <c r="G122" s="1316">
        <f>F122/F137*100</f>
        <v>0.6795743383952603</v>
      </c>
      <c r="H122" s="1319">
        <f>D122-F122</f>
        <v>6240854.029999999</v>
      </c>
      <c r="I122" s="769">
        <f>J122-'[18]Anexo 2 _ DP FUNC'!J122</f>
        <v>4504938.510000001</v>
      </c>
      <c r="J122" s="137">
        <v>8765037.14</v>
      </c>
      <c r="K122" s="1316">
        <f>J122/J137*100</f>
        <v>0.8219488658528302</v>
      </c>
      <c r="L122" s="1074">
        <f>D122-J122</f>
        <v>9774938.86</v>
      </c>
      <c r="M122" s="933"/>
      <c r="N122" s="128"/>
    </row>
    <row r="123" spans="1:15" s="123" customFormat="1" ht="18" customHeight="1">
      <c r="A123" s="1472" t="s">
        <v>174</v>
      </c>
      <c r="B123" s="1472"/>
      <c r="C123" s="146">
        <f aca="true" t="shared" si="25" ref="C123:L123">C124+C125+C126</f>
        <v>7445420</v>
      </c>
      <c r="D123" s="146">
        <f t="shared" si="25"/>
        <v>12837460</v>
      </c>
      <c r="E123" s="507">
        <f t="shared" si="25"/>
        <v>3947383.69</v>
      </c>
      <c r="F123" s="508">
        <f t="shared" si="25"/>
        <v>7786701.63</v>
      </c>
      <c r="G123" s="1314">
        <f>F123/F137*100</f>
        <v>0.43024555910543144</v>
      </c>
      <c r="H123" s="1336">
        <f t="shared" si="25"/>
        <v>5050758.37</v>
      </c>
      <c r="I123" s="899">
        <f>I124+I125+I126</f>
        <v>3949905.66</v>
      </c>
      <c r="J123" s="127">
        <f t="shared" si="25"/>
        <v>5384374.68</v>
      </c>
      <c r="K123" s="1314">
        <f>J123/J137*100</f>
        <v>0.5049243478222951</v>
      </c>
      <c r="L123" s="508">
        <f t="shared" si="25"/>
        <v>7453085.32</v>
      </c>
      <c r="M123" s="928">
        <f>M124+M125+M126</f>
        <v>0</v>
      </c>
      <c r="N123" s="408"/>
      <c r="O123" s="129"/>
    </row>
    <row r="124" spans="1:14" ht="18" customHeight="1">
      <c r="A124" s="1470" t="s">
        <v>111</v>
      </c>
      <c r="B124" s="1470"/>
      <c r="C124" s="130">
        <v>4831345</v>
      </c>
      <c r="D124" s="130">
        <v>4832345</v>
      </c>
      <c r="E124" s="612">
        <f>F124-'[18]Anexo 2 _ DP FUNC'!F124</f>
        <v>36983.689999999944</v>
      </c>
      <c r="F124" s="509">
        <v>3823460.63</v>
      </c>
      <c r="G124" s="1315">
        <f>F124/F137*100</f>
        <v>0.211261074924731</v>
      </c>
      <c r="H124" s="1318">
        <f>D124-F124</f>
        <v>1008884.3700000001</v>
      </c>
      <c r="I124" s="771">
        <f>J124-'[18]Anexo 2 _ DP FUNC'!J124</f>
        <v>604325.6599999999</v>
      </c>
      <c r="J124" s="135">
        <v>1991533.68</v>
      </c>
      <c r="K124" s="1315">
        <f>J124/J137*100</f>
        <v>0.186757776771236</v>
      </c>
      <c r="L124" s="130">
        <f>D124-J124</f>
        <v>2840811.3200000003</v>
      </c>
      <c r="M124" s="430"/>
      <c r="N124" s="128"/>
    </row>
    <row r="125" spans="1:14" ht="18" customHeight="1">
      <c r="A125" s="1470" t="s">
        <v>519</v>
      </c>
      <c r="B125" s="1470"/>
      <c r="C125" s="130"/>
      <c r="D125" s="130"/>
      <c r="E125" s="612">
        <f>F125-'[18]Anexo 2 _ DP FUNC'!F125</f>
        <v>0</v>
      </c>
      <c r="F125" s="509"/>
      <c r="G125" s="1315">
        <f>F125/F137*100</f>
        <v>0</v>
      </c>
      <c r="H125" s="1318">
        <f>D125-F125</f>
        <v>0</v>
      </c>
      <c r="I125" s="771">
        <f>J125-'[18]Anexo 2 _ DP FUNC'!J125</f>
        <v>0</v>
      </c>
      <c r="J125" s="135"/>
      <c r="K125" s="1315">
        <f>J125/J137*100</f>
        <v>0</v>
      </c>
      <c r="L125" s="130">
        <f>D125-J125</f>
        <v>0</v>
      </c>
      <c r="M125" s="430"/>
      <c r="N125" s="128"/>
    </row>
    <row r="126" spans="1:14" ht="18" customHeight="1">
      <c r="A126" s="1469" t="s">
        <v>175</v>
      </c>
      <c r="B126" s="1469"/>
      <c r="C126" s="133">
        <v>2614075</v>
      </c>
      <c r="D126" s="133">
        <v>8005115</v>
      </c>
      <c r="E126" s="613">
        <f>F126-'[18]Anexo 2 _ DP FUNC'!F126</f>
        <v>3910400</v>
      </c>
      <c r="F126" s="517">
        <v>3963241</v>
      </c>
      <c r="G126" s="1316">
        <f>F126/F137*100</f>
        <v>0.2189844841807004</v>
      </c>
      <c r="H126" s="1319">
        <f>D126-F126</f>
        <v>4041874</v>
      </c>
      <c r="I126" s="769">
        <f>J126-'[18]Anexo 2 _ DP FUNC'!J126</f>
        <v>3345580</v>
      </c>
      <c r="J126" s="137">
        <v>3392841</v>
      </c>
      <c r="K126" s="1316">
        <f>J126/J137*100</f>
        <v>0.3181665710510591</v>
      </c>
      <c r="L126" s="1074">
        <f>D126-J126</f>
        <v>4612274</v>
      </c>
      <c r="M126" s="933"/>
      <c r="N126" s="128"/>
    </row>
    <row r="127" spans="1:15" s="123" customFormat="1" ht="18" customHeight="1">
      <c r="A127" s="1467" t="s">
        <v>176</v>
      </c>
      <c r="B127" s="1467"/>
      <c r="C127" s="139">
        <f>C128+C129+C130</f>
        <v>112947944</v>
      </c>
      <c r="D127" s="139">
        <f aca="true" t="shared" si="26" ref="D127:L127">D128+D129+D130</f>
        <v>83959303.75</v>
      </c>
      <c r="E127" s="139">
        <f t="shared" si="26"/>
        <v>9785376.58</v>
      </c>
      <c r="F127" s="146">
        <f t="shared" si="26"/>
        <v>44817738.92</v>
      </c>
      <c r="G127" s="1314">
        <f>F127/F137*100</f>
        <v>2.4763544380827462</v>
      </c>
      <c r="H127" s="1335">
        <f t="shared" si="26"/>
        <v>39141564.83</v>
      </c>
      <c r="I127" s="1335">
        <f t="shared" si="26"/>
        <v>12872167.420000002</v>
      </c>
      <c r="J127" s="423">
        <f t="shared" si="26"/>
        <v>31906713.7</v>
      </c>
      <c r="K127" s="1314">
        <f>J127/J137*100</f>
        <v>2.992079408211835</v>
      </c>
      <c r="L127" s="139">
        <f t="shared" si="26"/>
        <v>52052590.05</v>
      </c>
      <c r="M127" s="139">
        <f>M128+M129+M130</f>
        <v>0</v>
      </c>
      <c r="N127" s="408"/>
      <c r="O127" s="129"/>
    </row>
    <row r="128" spans="1:14" ht="18" customHeight="1">
      <c r="A128" s="1455" t="s">
        <v>111</v>
      </c>
      <c r="B128" s="1455"/>
      <c r="C128" s="130">
        <v>54572944</v>
      </c>
      <c r="D128" s="130">
        <v>25584303.75</v>
      </c>
      <c r="E128" s="612">
        <f>F128-'[18]Anexo 2 _ DP FUNC'!F128</f>
        <v>0</v>
      </c>
      <c r="F128" s="509">
        <v>25092495.74</v>
      </c>
      <c r="G128" s="1315">
        <f>F128/F137*100</f>
        <v>1.3864580116198642</v>
      </c>
      <c r="H128" s="1318">
        <f>D128-F128</f>
        <v>491808.01000000164</v>
      </c>
      <c r="I128" s="771">
        <f>J128-'[18]Anexo 2 _ DP FUNC'!J128</f>
        <v>4353137.58</v>
      </c>
      <c r="J128" s="135">
        <v>14184022.09</v>
      </c>
      <c r="K128" s="1315">
        <f>J128/J137*100</f>
        <v>1.3301188213912107</v>
      </c>
      <c r="L128" s="130">
        <f>D128-J128</f>
        <v>11400281.66</v>
      </c>
      <c r="M128" s="430"/>
      <c r="N128" s="128"/>
    </row>
    <row r="129" spans="1:14" ht="18" customHeight="1">
      <c r="A129" s="1455" t="s">
        <v>177</v>
      </c>
      <c r="B129" s="1455"/>
      <c r="C129" s="130">
        <v>16350000</v>
      </c>
      <c r="D129" s="130">
        <f>C129</f>
        <v>16350000</v>
      </c>
      <c r="E129" s="343">
        <f>F129-'[18]Anexo 2 _ DP FUNC'!F129</f>
        <v>5178098.5</v>
      </c>
      <c r="F129" s="509">
        <v>6197819.83</v>
      </c>
      <c r="G129" s="1315">
        <f>F129/F137*100</f>
        <v>0.34245365813420536</v>
      </c>
      <c r="H129" s="1318">
        <f>D129-F129</f>
        <v>10152180.17</v>
      </c>
      <c r="I129" s="771">
        <f>J129-'[18]Anexo 2 _ DP FUNC'!J129</f>
        <v>4460596.29</v>
      </c>
      <c r="J129" s="135">
        <v>5449488.86</v>
      </c>
      <c r="K129" s="1315">
        <f>J129/J137*100</f>
        <v>0.5110304858279964</v>
      </c>
      <c r="L129" s="130">
        <f>D129-J129</f>
        <v>10900511.14</v>
      </c>
      <c r="M129" s="430"/>
      <c r="N129" s="128"/>
    </row>
    <row r="130" spans="1:14" ht="18" customHeight="1">
      <c r="A130" s="1454" t="s">
        <v>178</v>
      </c>
      <c r="B130" s="1454"/>
      <c r="C130" s="133">
        <v>42025000</v>
      </c>
      <c r="D130" s="133">
        <f>C130</f>
        <v>42025000</v>
      </c>
      <c r="E130" s="613">
        <f>F130-'[18]Anexo 2 _ DP FUNC'!F130</f>
        <v>4607278.08</v>
      </c>
      <c r="F130" s="517">
        <v>13527423.35</v>
      </c>
      <c r="G130" s="1316">
        <f>F130/F137*100</f>
        <v>0.7474427683286764</v>
      </c>
      <c r="H130" s="1319">
        <f>D130-F130</f>
        <v>28497576.65</v>
      </c>
      <c r="I130" s="769">
        <f>J130-'[18]Anexo 2 _ DP FUNC'!J130</f>
        <v>4058433.55</v>
      </c>
      <c r="J130" s="137">
        <v>12273202.75</v>
      </c>
      <c r="K130" s="1316">
        <f>J130/J137*100</f>
        <v>1.150930100992628</v>
      </c>
      <c r="L130" s="1074">
        <f>D130-J130</f>
        <v>29751797.25</v>
      </c>
      <c r="M130" s="933"/>
      <c r="N130" s="128"/>
    </row>
    <row r="131" spans="1:15" s="123" customFormat="1" ht="19.5" customHeight="1">
      <c r="A131" s="1472" t="s">
        <v>179</v>
      </c>
      <c r="B131" s="1472"/>
      <c r="C131" s="146">
        <f>C132+C133</f>
        <v>20739308</v>
      </c>
      <c r="D131" s="146">
        <f aca="true" t="shared" si="27" ref="D131:L131">D132+D133</f>
        <v>10739308</v>
      </c>
      <c r="E131" s="146">
        <f t="shared" si="27"/>
        <v>0</v>
      </c>
      <c r="F131" s="146">
        <f t="shared" si="27"/>
        <v>0</v>
      </c>
      <c r="G131" s="1314">
        <f>F131/F137*100</f>
        <v>0</v>
      </c>
      <c r="H131" s="1335">
        <f t="shared" si="27"/>
        <v>10739308</v>
      </c>
      <c r="I131" s="1335">
        <f t="shared" si="27"/>
        <v>0</v>
      </c>
      <c r="J131" s="127">
        <f t="shared" si="27"/>
        <v>0</v>
      </c>
      <c r="K131" s="1314">
        <f>J131/J137*100</f>
        <v>0</v>
      </c>
      <c r="L131" s="146">
        <f t="shared" si="27"/>
        <v>10739308</v>
      </c>
      <c r="M131" s="931">
        <f>M132+M133</f>
        <v>0</v>
      </c>
      <c r="N131" s="408"/>
      <c r="O131" s="129"/>
    </row>
    <row r="132" spans="1:15" s="123" customFormat="1" ht="19.5" customHeight="1">
      <c r="A132" s="1470" t="s">
        <v>817</v>
      </c>
      <c r="B132" s="1470"/>
      <c r="C132" s="141"/>
      <c r="D132" s="425"/>
      <c r="E132" s="612">
        <f>F132-'[18]Anexo 2 _ DP FUNC'!F132</f>
        <v>0</v>
      </c>
      <c r="F132" s="141"/>
      <c r="G132" s="1315">
        <f>F132/F137*100</f>
        <v>0</v>
      </c>
      <c r="H132" s="1318">
        <f>D132-F132</f>
        <v>0</v>
      </c>
      <c r="I132" s="771">
        <f>J132-'[18]Anexo 2 _ DP FUNC'!J132</f>
        <v>0</v>
      </c>
      <c r="J132" s="135"/>
      <c r="K132" s="1315">
        <f>J132/J137*100</f>
        <v>0</v>
      </c>
      <c r="L132" s="130">
        <f>D132-J132</f>
        <v>0</v>
      </c>
      <c r="M132" s="430"/>
      <c r="N132" s="128"/>
      <c r="O132" s="129"/>
    </row>
    <row r="133" spans="1:14" ht="19.5" customHeight="1">
      <c r="A133" s="1470" t="s">
        <v>180</v>
      </c>
      <c r="B133" s="1470"/>
      <c r="C133" s="133">
        <v>20739308</v>
      </c>
      <c r="D133" s="134">
        <v>10739308</v>
      </c>
      <c r="E133" s="612">
        <f>F133-'[18]Anexo 2 _ DP FUNC'!F133</f>
        <v>0</v>
      </c>
      <c r="F133" s="517">
        <v>0</v>
      </c>
      <c r="G133" s="1316">
        <f>F133/F137*100</f>
        <v>0</v>
      </c>
      <c r="H133" s="1319">
        <f>D133-F133</f>
        <v>10739308</v>
      </c>
      <c r="I133" s="769">
        <f>J133-'[18]Anexo 2 _ DP FUNC'!J133</f>
        <v>0</v>
      </c>
      <c r="J133" s="135">
        <v>0</v>
      </c>
      <c r="K133" s="1316">
        <f>J133/J137*100</f>
        <v>0</v>
      </c>
      <c r="L133" s="130">
        <f>D133-J133</f>
        <v>10739308</v>
      </c>
      <c r="M133" s="430"/>
      <c r="N133" s="128"/>
    </row>
    <row r="134" spans="1:14" ht="7.5" customHeight="1">
      <c r="A134" s="1477"/>
      <c r="B134" s="1477"/>
      <c r="C134" s="152"/>
      <c r="D134" s="152"/>
      <c r="E134" s="502"/>
      <c r="F134" s="503"/>
      <c r="G134" s="1313"/>
      <c r="H134" s="502"/>
      <c r="I134" s="1007"/>
      <c r="J134" s="152"/>
      <c r="K134" s="1313"/>
      <c r="L134" s="1338"/>
      <c r="M134" s="937"/>
      <c r="N134" s="128"/>
    </row>
    <row r="135" spans="1:15" s="123" customFormat="1" ht="15" customHeight="1">
      <c r="A135" s="414" t="s">
        <v>944</v>
      </c>
      <c r="B135" s="414"/>
      <c r="C135" s="153"/>
      <c r="D135" s="154">
        <v>68761081.06</v>
      </c>
      <c r="E135" s="1366">
        <f>F135-'[18]Anexo 2 _ DP FUNC'!F135</f>
        <v>0</v>
      </c>
      <c r="F135" s="1304">
        <v>68761081.06</v>
      </c>
      <c r="G135" s="1317">
        <f>F135/F137*100</f>
        <v>3.799317242537466</v>
      </c>
      <c r="H135" s="1343">
        <f>D135-F135</f>
        <v>0</v>
      </c>
      <c r="I135" s="1376">
        <f>J135-'[18]Anexo 2 _ DP FUNC'!J135</f>
        <v>11809427.95</v>
      </c>
      <c r="J135" s="1342">
        <v>23476469.15</v>
      </c>
      <c r="K135" s="1317">
        <f>J135/J137*100</f>
        <v>2.201526004266475</v>
      </c>
      <c r="L135" s="1344">
        <f>D135-J135</f>
        <v>45284611.910000004</v>
      </c>
      <c r="M135" s="938"/>
      <c r="N135" s="408"/>
      <c r="O135" s="1345"/>
    </row>
    <row r="136" spans="1:14" ht="15" customHeight="1">
      <c r="A136" s="132"/>
      <c r="B136" s="132"/>
      <c r="C136" s="136"/>
      <c r="D136" s="136"/>
      <c r="E136" s="136"/>
      <c r="F136" s="136"/>
      <c r="G136" s="1313"/>
      <c r="H136" s="136"/>
      <c r="I136" s="933"/>
      <c r="J136" s="136"/>
      <c r="K136" s="1313">
        <f>J136/J137*100</f>
        <v>0</v>
      </c>
      <c r="L136" s="136"/>
      <c r="M136" s="933"/>
      <c r="N136" s="420"/>
    </row>
    <row r="137" spans="1:15" s="129" customFormat="1" ht="18" customHeight="1">
      <c r="A137" s="1478" t="s">
        <v>181</v>
      </c>
      <c r="B137" s="1478"/>
      <c r="C137" s="155">
        <f aca="true" t="shared" si="28" ref="C137:M137">C12+C135</f>
        <v>2701778599</v>
      </c>
      <c r="D137" s="155">
        <f t="shared" si="28"/>
        <v>2729241275</v>
      </c>
      <c r="E137" s="155">
        <f t="shared" si="28"/>
        <v>223015612.56</v>
      </c>
      <c r="F137" s="155">
        <f t="shared" si="28"/>
        <v>1809827310.2899997</v>
      </c>
      <c r="G137" s="1317">
        <f>F137/F137*100</f>
        <v>100</v>
      </c>
      <c r="H137" s="1006">
        <f t="shared" si="28"/>
        <v>919413964.71</v>
      </c>
      <c r="I137" s="1008">
        <f t="shared" si="28"/>
        <v>382513478.44</v>
      </c>
      <c r="J137" s="1006">
        <f t="shared" si="28"/>
        <v>1066372557.2399999</v>
      </c>
      <c r="K137" s="1317">
        <f>J137/J137*100</f>
        <v>100</v>
      </c>
      <c r="L137" s="155">
        <f t="shared" si="28"/>
        <v>1662868717.7599998</v>
      </c>
      <c r="M137" s="938">
        <f t="shared" si="28"/>
        <v>0</v>
      </c>
      <c r="N137" s="128"/>
      <c r="O137" s="421"/>
    </row>
    <row r="138" spans="1:15" s="123" customFormat="1" ht="18" customHeight="1">
      <c r="A138" s="380" t="str">
        <f>'Anexo 1 _ BAL ORC'!A97</f>
        <v>FONTE: SECRETARIA MUNICIPAL DA FAZENDA</v>
      </c>
      <c r="B138" s="409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06"/>
      <c r="N138" s="128"/>
      <c r="O138" s="129"/>
    </row>
    <row r="139" spans="1:15" s="123" customFormat="1" ht="29.25" customHeight="1">
      <c r="A139" s="1479" t="str">
        <f>'Anexo 1 _ BAL ORC'!A98</f>
        <v>Nota: Durante o exercício, somente as despesas liquidadas são consideradas executadas. No encerramento do exercício, as despesas não liquidadas inscritas em restos a pagar não-processados são também consideradas executadas. Dessa forma, para maior transparência, as despesas executadas estão segregadas em:</v>
      </c>
      <c r="B139" s="1479"/>
      <c r="C139" s="1479"/>
      <c r="D139" s="1479"/>
      <c r="E139" s="1479"/>
      <c r="F139" s="1479"/>
      <c r="G139" s="1479"/>
      <c r="H139" s="1479"/>
      <c r="I139" s="1479"/>
      <c r="J139" s="1479"/>
      <c r="K139" s="1479"/>
      <c r="L139" s="1479"/>
      <c r="M139" s="1479"/>
      <c r="N139" s="408"/>
      <c r="O139" s="129"/>
    </row>
    <row r="140" spans="1:15" s="123" customFormat="1" ht="18" customHeight="1">
      <c r="A140" s="416" t="str">
        <f>'Anexo 1 _ BAL ORC'!A99</f>
        <v>a) Despesas liquidadas, consideradas aquelas em que houve a entrega do material ou serviço, nos termos do art. 63 da Lei 4.320/64;</v>
      </c>
      <c r="B140" s="409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31"/>
      <c r="N140" s="408"/>
      <c r="O140" s="129"/>
    </row>
    <row r="141" spans="1:15" s="123" customFormat="1" ht="18" customHeight="1">
      <c r="A141" s="416" t="str">
        <f>'Anexo 1 _ BAL ORC'!A100</f>
        <v>b) Despesas empenhadas mas não liquidadas, inscritas em Restos a Pagar não-processados, consideradas liquidadas no encerramento do exercício, por força do art.35, inciso II da Lei 4.320/64.</v>
      </c>
      <c r="B141" s="409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31"/>
      <c r="N141" s="408"/>
      <c r="O141" s="129"/>
    </row>
    <row r="142" spans="1:13" ht="27.75" customHeight="1">
      <c r="A142" s="156" t="str">
        <f>'Anexo 1 _ BAL ORC'!A102</f>
        <v>  São Luís, 30 de Julho de 2015</v>
      </c>
      <c r="B142" s="156"/>
      <c r="C142" s="157"/>
      <c r="D142" s="157"/>
      <c r="E142" s="157"/>
      <c r="F142" s="159"/>
      <c r="G142" s="159"/>
      <c r="H142" s="159"/>
      <c r="I142" s="157"/>
      <c r="J142" s="159"/>
      <c r="K142" s="159"/>
      <c r="M142" s="157"/>
    </row>
    <row r="143" spans="1:11" s="112" customFormat="1" ht="12.75">
      <c r="A143" s="1480"/>
      <c r="B143" s="1480"/>
      <c r="C143" s="161"/>
      <c r="D143" s="545"/>
      <c r="E143" s="422"/>
      <c r="F143" s="163"/>
      <c r="G143" s="163"/>
      <c r="H143" s="163"/>
      <c r="I143" s="164"/>
      <c r="J143" s="162"/>
      <c r="K143" s="545"/>
    </row>
    <row r="144" spans="1:13" s="112" customFormat="1" ht="12.75">
      <c r="A144" s="1481"/>
      <c r="B144" s="1481"/>
      <c r="C144" s="1481"/>
      <c r="D144" s="1481"/>
      <c r="E144" s="417"/>
      <c r="F144" s="163"/>
      <c r="G144" s="163"/>
      <c r="H144" s="163"/>
      <c r="I144" s="592"/>
      <c r="J144" s="162"/>
      <c r="K144" s="162"/>
      <c r="M144" s="165"/>
    </row>
    <row r="145" spans="6:8" ht="18" customHeight="1">
      <c r="F145" s="166"/>
      <c r="G145" s="166"/>
      <c r="H145" s="166"/>
    </row>
    <row r="146" spans="6:8" ht="18" customHeight="1">
      <c r="F146" s="592"/>
      <c r="G146" s="592"/>
      <c r="H146" s="592"/>
    </row>
    <row r="147" ht="18" customHeight="1"/>
    <row r="148" spans="1:11" ht="18" customHeight="1">
      <c r="A148" s="156"/>
      <c r="B148" s="156"/>
      <c r="C148" s="156"/>
      <c r="D148" s="162"/>
      <c r="F148" s="169"/>
      <c r="G148" s="169"/>
      <c r="H148" s="169"/>
      <c r="J148" s="169"/>
      <c r="K148" s="169"/>
    </row>
    <row r="149" spans="1:14" ht="18" customHeight="1">
      <c r="A149" s="156"/>
      <c r="B149" s="156"/>
      <c r="C149" s="156"/>
      <c r="D149" s="162"/>
      <c r="F149" s="169"/>
      <c r="G149" s="169"/>
      <c r="H149" s="169"/>
      <c r="J149" s="169"/>
      <c r="K149" s="169"/>
      <c r="L149" s="418"/>
      <c r="M149" s="418"/>
      <c r="N149" s="129"/>
    </row>
    <row r="150" spans="1:11" ht="18" customHeight="1">
      <c r="A150" s="156"/>
      <c r="B150" s="156"/>
      <c r="C150" s="156"/>
      <c r="D150" s="162"/>
      <c r="F150" s="169"/>
      <c r="G150" s="169"/>
      <c r="H150" s="169"/>
      <c r="J150" s="169"/>
      <c r="K150" s="169"/>
    </row>
    <row r="151" spans="1:12" ht="18" customHeight="1">
      <c r="A151" s="156"/>
      <c r="B151" s="156"/>
      <c r="C151" s="156"/>
      <c r="D151" s="162"/>
      <c r="F151" s="712"/>
      <c r="G151" s="712"/>
      <c r="H151" s="712"/>
      <c r="I151" s="712"/>
      <c r="J151" s="712"/>
      <c r="K151" s="712"/>
      <c r="L151" s="712"/>
    </row>
    <row r="152" spans="1:12" ht="18" customHeight="1">
      <c r="A152" s="156"/>
      <c r="B152" s="156"/>
      <c r="C152" s="156"/>
      <c r="D152" s="162"/>
      <c r="F152" s="712"/>
      <c r="G152" s="712"/>
      <c r="H152" s="712"/>
      <c r="I152" s="712"/>
      <c r="J152" s="712"/>
      <c r="K152" s="712"/>
      <c r="L152" s="712"/>
    </row>
    <row r="153" spans="1:12" ht="18" customHeight="1">
      <c r="A153" s="156"/>
      <c r="B153" s="156"/>
      <c r="C153" s="156"/>
      <c r="D153" s="162"/>
      <c r="F153" s="712"/>
      <c r="G153" s="712"/>
      <c r="H153" s="712"/>
      <c r="I153" s="712"/>
      <c r="J153" s="712"/>
      <c r="K153" s="712"/>
      <c r="L153" s="712"/>
    </row>
    <row r="154" spans="1:12" ht="18" customHeight="1">
      <c r="A154" s="156"/>
      <c r="B154" s="156"/>
      <c r="C154" s="156"/>
      <c r="D154" s="162"/>
      <c r="E154" s="712"/>
      <c r="F154" s="712"/>
      <c r="G154" s="712"/>
      <c r="H154" s="712"/>
      <c r="I154" s="712"/>
      <c r="J154" s="712"/>
      <c r="K154" s="712"/>
      <c r="L154" s="712"/>
    </row>
    <row r="155" spans="1:12" ht="18" customHeight="1">
      <c r="A155" s="156"/>
      <c r="B155" s="156"/>
      <c r="C155" s="156"/>
      <c r="D155" s="162"/>
      <c r="F155" s="712"/>
      <c r="G155" s="712"/>
      <c r="H155" s="712"/>
      <c r="I155" s="712"/>
      <c r="J155" s="712"/>
      <c r="K155" s="712"/>
      <c r="L155" s="712"/>
    </row>
    <row r="156" spans="1:12" ht="18" customHeight="1">
      <c r="A156" s="156"/>
      <c r="B156" s="156"/>
      <c r="C156" s="156"/>
      <c r="D156" s="162"/>
      <c r="F156" s="169"/>
      <c r="G156" s="169"/>
      <c r="H156" s="169"/>
      <c r="I156" s="712"/>
      <c r="J156" s="712"/>
      <c r="K156" s="712"/>
      <c r="L156" s="712"/>
    </row>
    <row r="157" spans="1:12" ht="18" customHeight="1">
      <c r="A157" s="156"/>
      <c r="B157" s="156"/>
      <c r="C157" s="156"/>
      <c r="D157" s="162"/>
      <c r="F157" s="169"/>
      <c r="G157" s="169"/>
      <c r="H157" s="169"/>
      <c r="I157" s="712"/>
      <c r="J157" s="712"/>
      <c r="K157" s="712"/>
      <c r="L157" s="712"/>
    </row>
    <row r="158" spans="1:12" ht="18" customHeight="1">
      <c r="A158" s="156"/>
      <c r="B158" s="156"/>
      <c r="C158" s="1012"/>
      <c r="D158" s="1013"/>
      <c r="F158" s="712"/>
      <c r="G158" s="712"/>
      <c r="H158" s="712"/>
      <c r="I158" s="712"/>
      <c r="J158" s="712"/>
      <c r="K158" s="712"/>
      <c r="L158" s="712"/>
    </row>
    <row r="159" spans="1:11" ht="12.75">
      <c r="A159" s="156"/>
      <c r="B159" s="156"/>
      <c r="C159" s="1012"/>
      <c r="D159" s="1013"/>
      <c r="E159" s="712"/>
      <c r="F159" s="712"/>
      <c r="G159" s="712"/>
      <c r="H159" s="712"/>
      <c r="I159" s="712"/>
      <c r="J159" s="712"/>
      <c r="K159" s="169"/>
    </row>
    <row r="160" spans="1:11" ht="12.75">
      <c r="A160" s="156"/>
      <c r="B160" s="156"/>
      <c r="C160" s="1012"/>
      <c r="D160" s="1013"/>
      <c r="E160" s="712"/>
      <c r="F160" s="712"/>
      <c r="G160" s="712"/>
      <c r="H160" s="712"/>
      <c r="I160" s="712"/>
      <c r="J160" s="712"/>
      <c r="K160" s="169"/>
    </row>
    <row r="161" spans="1:11" ht="12.75">
      <c r="A161" s="156"/>
      <c r="B161" s="156"/>
      <c r="C161" s="1012"/>
      <c r="D161" s="1013"/>
      <c r="E161" s="712"/>
      <c r="F161" s="712"/>
      <c r="G161" s="712"/>
      <c r="H161" s="712"/>
      <c r="I161" s="712"/>
      <c r="J161" s="712"/>
      <c r="K161" s="169"/>
    </row>
    <row r="162" spans="1:11" ht="12.75">
      <c r="A162" s="156"/>
      <c r="B162" s="156"/>
      <c r="C162" s="1012"/>
      <c r="D162" s="1013"/>
      <c r="E162" s="712"/>
      <c r="F162" s="712"/>
      <c r="G162" s="712"/>
      <c r="H162" s="712"/>
      <c r="I162" s="712"/>
      <c r="J162" s="712"/>
      <c r="K162" s="169"/>
    </row>
    <row r="163" spans="1:11" ht="12.75">
      <c r="A163" s="156"/>
      <c r="B163" s="156"/>
      <c r="C163" s="156"/>
      <c r="D163" s="162"/>
      <c r="F163" s="169"/>
      <c r="G163" s="169"/>
      <c r="H163" s="169"/>
      <c r="J163" s="169"/>
      <c r="K163" s="169"/>
    </row>
    <row r="164" spans="1:11" ht="12.75">
      <c r="A164" s="156"/>
      <c r="B164" s="156"/>
      <c r="C164" s="156"/>
      <c r="D164" s="162"/>
      <c r="F164" s="169"/>
      <c r="G164" s="169"/>
      <c r="H164" s="169"/>
      <c r="J164" s="169"/>
      <c r="K164" s="169"/>
    </row>
    <row r="165" spans="1:11" ht="12.75">
      <c r="A165" s="156"/>
      <c r="B165" s="156"/>
      <c r="C165" s="156"/>
      <c r="D165" s="162"/>
      <c r="F165" s="169"/>
      <c r="G165" s="169"/>
      <c r="H165" s="169"/>
      <c r="J165" s="169"/>
      <c r="K165" s="169"/>
    </row>
    <row r="166" spans="1:11" ht="12.75">
      <c r="A166" s="156"/>
      <c r="B166" s="156"/>
      <c r="C166" s="156"/>
      <c r="D166" s="162"/>
      <c r="F166" s="169"/>
      <c r="G166" s="169"/>
      <c r="H166" s="169"/>
      <c r="J166" s="169"/>
      <c r="K166" s="169"/>
    </row>
    <row r="167" spans="1:11" ht="12.75">
      <c r="A167" s="156"/>
      <c r="B167" s="156"/>
      <c r="C167" s="156"/>
      <c r="D167" s="162"/>
      <c r="F167" s="169"/>
      <c r="G167" s="169"/>
      <c r="H167" s="169"/>
      <c r="J167" s="169"/>
      <c r="K167" s="169"/>
    </row>
    <row r="168" spans="1:11" ht="12.75">
      <c r="A168" s="156"/>
      <c r="B168" s="156"/>
      <c r="C168" s="156"/>
      <c r="D168" s="162"/>
      <c r="F168" s="169"/>
      <c r="G168" s="169"/>
      <c r="H168" s="169"/>
      <c r="J168" s="169"/>
      <c r="K168" s="169"/>
    </row>
    <row r="169" spans="1:11" ht="12.75">
      <c r="A169" s="156"/>
      <c r="B169" s="156"/>
      <c r="C169" s="156"/>
      <c r="D169" s="162"/>
      <c r="F169" s="169"/>
      <c r="G169" s="169"/>
      <c r="H169" s="169"/>
      <c r="J169" s="169"/>
      <c r="K169" s="169"/>
    </row>
    <row r="170" spans="1:4" ht="12.75">
      <c r="A170" s="156"/>
      <c r="B170" s="156"/>
      <c r="C170" s="156"/>
      <c r="D170" s="162"/>
    </row>
    <row r="171" spans="1:4" ht="12.75">
      <c r="A171" s="156"/>
      <c r="B171" s="156"/>
      <c r="C171" s="156"/>
      <c r="D171" s="162"/>
    </row>
    <row r="172" spans="1:4" ht="12.75">
      <c r="A172" s="156"/>
      <c r="B172" s="156"/>
      <c r="C172" s="156"/>
      <c r="D172" s="162"/>
    </row>
    <row r="173" spans="1:4" ht="12.75">
      <c r="A173" s="156"/>
      <c r="B173" s="156"/>
      <c r="C173" s="156"/>
      <c r="D173" s="162"/>
    </row>
    <row r="174" spans="1:4" ht="12.75">
      <c r="A174" s="156"/>
      <c r="B174" s="156"/>
      <c r="C174" s="156"/>
      <c r="D174" s="162"/>
    </row>
    <row r="175" spans="1:4" ht="12.75">
      <c r="A175" s="156"/>
      <c r="B175" s="156"/>
      <c r="C175" s="156"/>
      <c r="D175" s="162"/>
    </row>
    <row r="176" spans="1:4" ht="12.75">
      <c r="A176" s="156"/>
      <c r="B176" s="156"/>
      <c r="C176" s="156"/>
      <c r="D176" s="162"/>
    </row>
    <row r="177" spans="1:4" ht="12.75">
      <c r="A177" s="156"/>
      <c r="B177" s="156"/>
      <c r="C177" s="156"/>
      <c r="D177" s="162"/>
    </row>
    <row r="178" spans="1:4" ht="12.75">
      <c r="A178" s="156"/>
      <c r="B178" s="156"/>
      <c r="C178" s="156"/>
      <c r="D178" s="162"/>
    </row>
    <row r="179" spans="1:4" ht="12.75">
      <c r="A179" s="156"/>
      <c r="B179" s="156"/>
      <c r="C179" s="156"/>
      <c r="D179" s="162"/>
    </row>
    <row r="180" spans="1:4" ht="12.75">
      <c r="A180" s="156"/>
      <c r="B180" s="156"/>
      <c r="C180" s="156"/>
      <c r="D180" s="162"/>
    </row>
    <row r="181" spans="1:4" ht="12.75">
      <c r="A181" s="156"/>
      <c r="B181" s="156"/>
      <c r="C181" s="156"/>
      <c r="D181" s="162"/>
    </row>
    <row r="182" spans="1:4" ht="12.75">
      <c r="A182" s="156"/>
      <c r="B182" s="156"/>
      <c r="C182" s="156"/>
      <c r="D182" s="162"/>
    </row>
    <row r="183" spans="1:4" ht="12.75">
      <c r="A183" s="156"/>
      <c r="B183" s="156"/>
      <c r="C183" s="156"/>
      <c r="D183" s="162"/>
    </row>
    <row r="184" spans="1:4" ht="12.75">
      <c r="A184" s="156"/>
      <c r="B184" s="156"/>
      <c r="C184" s="156"/>
      <c r="D184" s="162"/>
    </row>
    <row r="185" spans="1:4" ht="12.75">
      <c r="A185" s="156"/>
      <c r="B185" s="156"/>
      <c r="C185" s="156"/>
      <c r="D185" s="162"/>
    </row>
    <row r="186" spans="1:4" ht="12.75">
      <c r="A186" s="156"/>
      <c r="B186" s="156"/>
      <c r="C186" s="156"/>
      <c r="D186" s="162"/>
    </row>
    <row r="187" spans="1:4" ht="12.75">
      <c r="A187" s="156"/>
      <c r="B187" s="156"/>
      <c r="C187" s="156"/>
      <c r="D187" s="162"/>
    </row>
    <row r="188" spans="1:4" ht="12.75">
      <c r="A188" s="156"/>
      <c r="B188" s="156"/>
      <c r="C188" s="156"/>
      <c r="D188" s="162"/>
    </row>
    <row r="189" spans="1:4" ht="12.75">
      <c r="A189" s="156"/>
      <c r="B189" s="156"/>
      <c r="C189" s="156"/>
      <c r="D189" s="162"/>
    </row>
    <row r="190" spans="1:4" ht="12.75">
      <c r="A190" s="156"/>
      <c r="B190" s="156"/>
      <c r="C190" s="156"/>
      <c r="D190" s="162"/>
    </row>
    <row r="191" spans="1:4" ht="12.75">
      <c r="A191" s="156"/>
      <c r="B191" s="156"/>
      <c r="C191" s="156"/>
      <c r="D191" s="162"/>
    </row>
    <row r="192" spans="1:4" ht="12.75">
      <c r="A192" s="156"/>
      <c r="B192" s="156"/>
      <c r="C192" s="156"/>
      <c r="D192" s="162"/>
    </row>
    <row r="193" spans="1:4" ht="12.75">
      <c r="A193" s="156"/>
      <c r="B193" s="156"/>
      <c r="C193" s="156"/>
      <c r="D193" s="162"/>
    </row>
    <row r="194" spans="1:4" ht="12.75">
      <c r="A194" s="156"/>
      <c r="B194" s="156"/>
      <c r="C194" s="156"/>
      <c r="D194" s="162"/>
    </row>
    <row r="195" spans="1:4" ht="12.75">
      <c r="A195" s="156"/>
      <c r="B195" s="156"/>
      <c r="C195" s="156"/>
      <c r="D195" s="162"/>
    </row>
    <row r="196" spans="1:11" ht="12.75">
      <c r="A196" s="156"/>
      <c r="B196" s="156"/>
      <c r="C196" s="156"/>
      <c r="D196" s="1013"/>
      <c r="E196" s="712"/>
      <c r="F196" s="712"/>
      <c r="G196" s="712"/>
      <c r="H196" s="712"/>
      <c r="I196" s="712"/>
      <c r="J196" s="712"/>
      <c r="K196" s="712"/>
    </row>
    <row r="197" spans="1:11" ht="12.75">
      <c r="A197" s="156"/>
      <c r="B197" s="156"/>
      <c r="C197" s="156"/>
      <c r="D197" s="1013"/>
      <c r="E197" s="712"/>
      <c r="F197" s="712"/>
      <c r="G197" s="712"/>
      <c r="H197" s="712"/>
      <c r="I197" s="712"/>
      <c r="J197" s="712"/>
      <c r="K197" s="712"/>
    </row>
    <row r="198" spans="1:11" ht="12.75">
      <c r="A198" s="156"/>
      <c r="B198" s="156"/>
      <c r="C198" s="156"/>
      <c r="D198" s="1013"/>
      <c r="E198" s="712"/>
      <c r="F198" s="712"/>
      <c r="G198" s="712"/>
      <c r="H198" s="712"/>
      <c r="I198" s="712"/>
      <c r="J198" s="712"/>
      <c r="K198" s="712"/>
    </row>
    <row r="199" spans="1:11" ht="12.75">
      <c r="A199" s="156"/>
      <c r="B199" s="156"/>
      <c r="C199" s="156"/>
      <c r="D199" s="1013"/>
      <c r="E199" s="712"/>
      <c r="F199" s="712"/>
      <c r="G199" s="712"/>
      <c r="H199" s="712"/>
      <c r="I199" s="712"/>
      <c r="J199" s="712"/>
      <c r="K199" s="712"/>
    </row>
    <row r="200" spans="1:12" ht="12.75">
      <c r="A200" s="156"/>
      <c r="B200" s="156"/>
      <c r="C200" s="156"/>
      <c r="D200" s="1013"/>
      <c r="E200" s="712"/>
      <c r="F200" s="712"/>
      <c r="G200" s="712"/>
      <c r="H200" s="712"/>
      <c r="I200" s="712"/>
      <c r="J200" s="712"/>
      <c r="K200" s="712"/>
      <c r="L200" s="1022"/>
    </row>
    <row r="201" spans="1:12" ht="12.75">
      <c r="A201" s="156"/>
      <c r="B201" s="156"/>
      <c r="C201" s="156"/>
      <c r="D201" s="1013"/>
      <c r="E201" s="712"/>
      <c r="F201" s="712"/>
      <c r="G201" s="712"/>
      <c r="H201" s="712"/>
      <c r="I201" s="712"/>
      <c r="J201" s="712"/>
      <c r="K201" s="712"/>
      <c r="L201" s="1022"/>
    </row>
    <row r="202" spans="1:11" ht="12.75">
      <c r="A202" s="156"/>
      <c r="B202" s="156"/>
      <c r="C202" s="156"/>
      <c r="D202" s="162"/>
      <c r="E202" s="712"/>
      <c r="F202" s="712"/>
      <c r="G202" s="712"/>
      <c r="H202" s="712"/>
      <c r="I202" s="712"/>
      <c r="J202" s="712"/>
      <c r="K202" s="712"/>
    </row>
    <row r="203" spans="1:11" ht="12.75">
      <c r="A203" s="156"/>
      <c r="B203" s="156"/>
      <c r="C203" s="156"/>
      <c r="D203" s="162"/>
      <c r="E203" s="712"/>
      <c r="F203" s="712"/>
      <c r="G203" s="712"/>
      <c r="H203" s="712"/>
      <c r="I203" s="712"/>
      <c r="J203" s="712"/>
      <c r="K203" s="712"/>
    </row>
    <row r="204" spans="1:11" ht="12.75">
      <c r="A204" s="156"/>
      <c r="B204" s="156"/>
      <c r="C204" s="156"/>
      <c r="D204" s="162"/>
      <c r="E204" s="712"/>
      <c r="F204" s="712"/>
      <c r="G204" s="712"/>
      <c r="H204" s="712"/>
      <c r="I204" s="712"/>
      <c r="J204" s="712"/>
      <c r="K204" s="712"/>
    </row>
    <row r="205" spans="1:11" ht="12.75">
      <c r="A205" s="156"/>
      <c r="B205" s="156"/>
      <c r="C205" s="156"/>
      <c r="D205" s="162"/>
      <c r="E205" s="712"/>
      <c r="F205" s="712"/>
      <c r="G205" s="712"/>
      <c r="H205" s="712"/>
      <c r="I205" s="712"/>
      <c r="J205" s="712"/>
      <c r="K205" s="712"/>
    </row>
    <row r="206" spans="1:11" ht="12.75">
      <c r="A206" s="156"/>
      <c r="B206" s="156"/>
      <c r="C206" s="156"/>
      <c r="D206" s="162"/>
      <c r="E206" s="712"/>
      <c r="F206" s="712"/>
      <c r="G206" s="712"/>
      <c r="H206" s="712"/>
      <c r="I206" s="712"/>
      <c r="J206" s="712"/>
      <c r="K206" s="712"/>
    </row>
    <row r="207" spans="1:11" ht="12.75">
      <c r="A207" s="156"/>
      <c r="B207" s="156"/>
      <c r="C207" s="156"/>
      <c r="D207" s="162"/>
      <c r="E207" s="712"/>
      <c r="F207" s="712"/>
      <c r="G207" s="712"/>
      <c r="H207" s="712"/>
      <c r="I207" s="712"/>
      <c r="J207" s="712"/>
      <c r="K207" s="712"/>
    </row>
    <row r="208" spans="1:11" ht="12.75">
      <c r="A208" s="156"/>
      <c r="B208" s="156"/>
      <c r="C208" s="156"/>
      <c r="D208" s="162"/>
      <c r="E208" s="712"/>
      <c r="F208" s="712"/>
      <c r="G208" s="712"/>
      <c r="H208" s="712"/>
      <c r="I208" s="712"/>
      <c r="J208" s="712"/>
      <c r="K208" s="712"/>
    </row>
    <row r="209" spans="1:11" ht="12.75">
      <c r="A209" s="156"/>
      <c r="B209" s="156"/>
      <c r="C209" s="156"/>
      <c r="D209" s="162"/>
      <c r="E209" s="712"/>
      <c r="F209" s="712"/>
      <c r="G209" s="712"/>
      <c r="H209" s="712"/>
      <c r="I209" s="712"/>
      <c r="J209" s="712"/>
      <c r="K209" s="712"/>
    </row>
    <row r="210" spans="1:4" ht="12.75">
      <c r="A210" s="156"/>
      <c r="B210" s="156"/>
      <c r="C210" s="156"/>
      <c r="D210" s="162"/>
    </row>
    <row r="211" spans="1:4" ht="12.75">
      <c r="A211" s="156"/>
      <c r="B211" s="156"/>
      <c r="C211" s="156"/>
      <c r="D211" s="162"/>
    </row>
    <row r="212" spans="1:4" ht="12.75">
      <c r="A212" s="156"/>
      <c r="B212" s="156"/>
      <c r="C212" s="156"/>
      <c r="D212" s="162"/>
    </row>
    <row r="213" spans="1:4" ht="12.75">
      <c r="A213" s="156"/>
      <c r="B213" s="156"/>
      <c r="C213" s="156"/>
      <c r="D213" s="162"/>
    </row>
    <row r="214" spans="1:4" ht="12.75">
      <c r="A214" s="156"/>
      <c r="B214" s="156"/>
      <c r="C214" s="156"/>
      <c r="D214" s="162"/>
    </row>
    <row r="215" spans="1:4" ht="12.75">
      <c r="A215" s="156"/>
      <c r="B215" s="156"/>
      <c r="C215" s="156"/>
      <c r="D215" s="162"/>
    </row>
    <row r="216" spans="1:4" ht="12.75">
      <c r="A216" s="156"/>
      <c r="B216" s="156"/>
      <c r="C216" s="156"/>
      <c r="D216" s="162"/>
    </row>
    <row r="217" spans="1:4" ht="12.75">
      <c r="A217" s="156"/>
      <c r="B217" s="156"/>
      <c r="C217" s="156"/>
      <c r="D217" s="162"/>
    </row>
    <row r="218" spans="1:4" ht="12.75">
      <c r="A218" s="156"/>
      <c r="B218" s="156"/>
      <c r="C218" s="156"/>
      <c r="D218" s="162"/>
    </row>
    <row r="219" spans="1:4" ht="12.75">
      <c r="A219" s="156"/>
      <c r="B219" s="156"/>
      <c r="C219" s="156"/>
      <c r="D219" s="162"/>
    </row>
    <row r="220" spans="1:4" ht="12.75">
      <c r="A220" s="156"/>
      <c r="B220" s="156"/>
      <c r="C220" s="156"/>
      <c r="D220" s="162"/>
    </row>
    <row r="221" spans="1:4" ht="12.75">
      <c r="A221" s="156"/>
      <c r="B221" s="156"/>
      <c r="C221" s="156"/>
      <c r="D221" s="162"/>
    </row>
    <row r="222" spans="1:4" ht="12.75">
      <c r="A222" s="156"/>
      <c r="B222" s="156"/>
      <c r="C222" s="156"/>
      <c r="D222" s="162"/>
    </row>
    <row r="223" spans="1:4" ht="12.75">
      <c r="A223" s="156"/>
      <c r="B223" s="156"/>
      <c r="C223" s="156"/>
      <c r="D223" s="162"/>
    </row>
    <row r="224" spans="1:4" ht="12.75">
      <c r="A224" s="156"/>
      <c r="B224" s="156"/>
      <c r="C224" s="156"/>
      <c r="D224" s="162"/>
    </row>
    <row r="225" spans="1:4" ht="12.75">
      <c r="A225" s="156"/>
      <c r="B225" s="156"/>
      <c r="C225" s="156"/>
      <c r="D225" s="162"/>
    </row>
    <row r="226" spans="1:4" ht="12.75">
      <c r="A226" s="156"/>
      <c r="B226" s="156"/>
      <c r="C226" s="156"/>
      <c r="D226" s="162"/>
    </row>
    <row r="227" spans="1:4" ht="12.75">
      <c r="A227" s="156"/>
      <c r="B227" s="156"/>
      <c r="C227" s="156"/>
      <c r="D227" s="162"/>
    </row>
    <row r="228" spans="1:4" ht="12.75">
      <c r="A228" s="156"/>
      <c r="B228" s="156"/>
      <c r="C228" s="156"/>
      <c r="D228" s="162"/>
    </row>
    <row r="229" spans="1:4" ht="12.75">
      <c r="A229" s="156"/>
      <c r="B229" s="156"/>
      <c r="C229" s="156"/>
      <c r="D229" s="162"/>
    </row>
    <row r="230" spans="1:4" ht="12.75">
      <c r="A230" s="156"/>
      <c r="B230" s="156"/>
      <c r="C230" s="156"/>
      <c r="D230" s="162"/>
    </row>
    <row r="231" spans="1:4" ht="12.75">
      <c r="A231" s="156"/>
      <c r="B231" s="156"/>
      <c r="C231" s="156"/>
      <c r="D231" s="162"/>
    </row>
    <row r="232" spans="1:4" ht="12.75">
      <c r="A232" s="156"/>
      <c r="B232" s="156"/>
      <c r="C232" s="156"/>
      <c r="D232" s="162"/>
    </row>
    <row r="233" spans="1:4" ht="12.75">
      <c r="A233" s="156"/>
      <c r="B233" s="156"/>
      <c r="C233" s="156"/>
      <c r="D233" s="162"/>
    </row>
    <row r="234" spans="1:4" ht="12.75">
      <c r="A234" s="156"/>
      <c r="B234" s="156"/>
      <c r="C234" s="156"/>
      <c r="D234" s="162"/>
    </row>
    <row r="235" spans="1:4" ht="12.75">
      <c r="A235" s="156"/>
      <c r="B235" s="156"/>
      <c r="C235" s="156"/>
      <c r="D235" s="162"/>
    </row>
    <row r="236" spans="1:4" ht="12.75">
      <c r="A236" s="156"/>
      <c r="B236" s="156"/>
      <c r="C236" s="156"/>
      <c r="D236" s="162"/>
    </row>
    <row r="237" spans="1:4" ht="12.75">
      <c r="A237" s="156"/>
      <c r="B237" s="156"/>
      <c r="C237" s="156"/>
      <c r="D237" s="162"/>
    </row>
    <row r="238" spans="1:4" ht="12.75">
      <c r="A238" s="156"/>
      <c r="B238" s="156"/>
      <c r="C238" s="156"/>
      <c r="D238" s="162"/>
    </row>
    <row r="239" spans="1:4" ht="12.75">
      <c r="A239" s="156"/>
      <c r="B239" s="156"/>
      <c r="C239" s="156"/>
      <c r="D239" s="162"/>
    </row>
    <row r="240" spans="1:4" ht="12.75">
      <c r="A240" s="156"/>
      <c r="B240" s="156"/>
      <c r="C240" s="156"/>
      <c r="D240" s="162"/>
    </row>
    <row r="241" spans="1:4" ht="12.75">
      <c r="A241" s="156"/>
      <c r="B241" s="156"/>
      <c r="C241" s="156"/>
      <c r="D241" s="162"/>
    </row>
    <row r="242" spans="1:4" ht="12.75">
      <c r="A242" s="156"/>
      <c r="B242" s="156"/>
      <c r="C242" s="156"/>
      <c r="D242" s="162"/>
    </row>
    <row r="243" spans="1:4" ht="12.75">
      <c r="A243" s="156"/>
      <c r="B243" s="156"/>
      <c r="C243" s="156"/>
      <c r="D243" s="162"/>
    </row>
    <row r="244" spans="1:4" ht="12.75">
      <c r="A244" s="156"/>
      <c r="B244" s="156"/>
      <c r="C244" s="156"/>
      <c r="D244" s="162"/>
    </row>
    <row r="245" spans="1:4" ht="12.75">
      <c r="A245" s="156"/>
      <c r="B245" s="156"/>
      <c r="C245" s="156"/>
      <c r="D245" s="162"/>
    </row>
    <row r="246" spans="1:4" ht="12.75">
      <c r="A246" s="156"/>
      <c r="B246" s="156"/>
      <c r="C246" s="156"/>
      <c r="D246" s="162"/>
    </row>
    <row r="247" spans="1:4" ht="12.75">
      <c r="A247" s="156"/>
      <c r="B247" s="156"/>
      <c r="C247" s="156"/>
      <c r="D247" s="162"/>
    </row>
    <row r="248" spans="1:4" ht="12.75">
      <c r="A248" s="156"/>
      <c r="B248" s="156"/>
      <c r="C248" s="156"/>
      <c r="D248" s="162"/>
    </row>
    <row r="249" spans="1:4" ht="12.75">
      <c r="A249" s="156"/>
      <c r="B249" s="156"/>
      <c r="C249" s="156"/>
      <c r="D249" s="162"/>
    </row>
    <row r="250" spans="1:4" ht="12.75">
      <c r="A250" s="156"/>
      <c r="B250" s="156"/>
      <c r="C250" s="156"/>
      <c r="D250" s="162"/>
    </row>
    <row r="251" spans="1:4" ht="12.75">
      <c r="A251" s="156"/>
      <c r="B251" s="156"/>
      <c r="C251" s="156"/>
      <c r="D251" s="162"/>
    </row>
    <row r="252" spans="1:4" ht="12.75">
      <c r="A252" s="156"/>
      <c r="B252" s="156"/>
      <c r="C252" s="156"/>
      <c r="D252" s="162"/>
    </row>
    <row r="253" spans="1:4" ht="12.75">
      <c r="A253" s="156"/>
      <c r="B253" s="156"/>
      <c r="C253" s="156"/>
      <c r="D253" s="162"/>
    </row>
    <row r="254" spans="1:4" ht="12.75">
      <c r="A254" s="156"/>
      <c r="B254" s="156"/>
      <c r="C254" s="156"/>
      <c r="D254" s="162"/>
    </row>
    <row r="255" spans="1:4" ht="12.75">
      <c r="A255" s="156"/>
      <c r="B255" s="156"/>
      <c r="C255" s="156"/>
      <c r="D255" s="162"/>
    </row>
    <row r="256" spans="1:4" ht="12.75">
      <c r="A256" s="156"/>
      <c r="B256" s="156"/>
      <c r="C256" s="156"/>
      <c r="D256" s="162"/>
    </row>
    <row r="257" spans="1:4" ht="12.75">
      <c r="A257" s="156"/>
      <c r="B257" s="156"/>
      <c r="C257" s="156"/>
      <c r="D257" s="162"/>
    </row>
    <row r="258" spans="1:4" ht="12.75">
      <c r="A258" s="156"/>
      <c r="B258" s="156"/>
      <c r="C258" s="156"/>
      <c r="D258" s="162"/>
    </row>
    <row r="259" spans="1:4" ht="12.75">
      <c r="A259" s="156"/>
      <c r="B259" s="156"/>
      <c r="C259" s="156"/>
      <c r="D259" s="162"/>
    </row>
    <row r="260" spans="1:4" ht="12.75">
      <c r="A260" s="156"/>
      <c r="B260" s="156"/>
      <c r="C260" s="156"/>
      <c r="D260" s="162"/>
    </row>
    <row r="261" spans="1:4" ht="12.75">
      <c r="A261" s="156"/>
      <c r="B261" s="156"/>
      <c r="C261" s="156"/>
      <c r="D261" s="162"/>
    </row>
  </sheetData>
  <sheetProtection/>
  <mergeCells count="104">
    <mergeCell ref="A134:B134"/>
    <mergeCell ref="A137:B137"/>
    <mergeCell ref="A139:M139"/>
    <mergeCell ref="A143:B143"/>
    <mergeCell ref="A144:D144"/>
    <mergeCell ref="A126:B126"/>
    <mergeCell ref="A127:B127"/>
    <mergeCell ref="A128:B128"/>
    <mergeCell ref="A130:B130"/>
    <mergeCell ref="A131:B131"/>
    <mergeCell ref="A116:B116"/>
    <mergeCell ref="A133:B133"/>
    <mergeCell ref="A119:B119"/>
    <mergeCell ref="A120:B120"/>
    <mergeCell ref="A122:B122"/>
    <mergeCell ref="A123:B123"/>
    <mergeCell ref="A124:B124"/>
    <mergeCell ref="A125:B125"/>
    <mergeCell ref="A129:B129"/>
    <mergeCell ref="A132:B132"/>
    <mergeCell ref="A109:B109"/>
    <mergeCell ref="A111:B111"/>
    <mergeCell ref="A112:B112"/>
    <mergeCell ref="A113:B113"/>
    <mergeCell ref="A115:B115"/>
    <mergeCell ref="A110:B110"/>
    <mergeCell ref="A102:B102"/>
    <mergeCell ref="A103:B103"/>
    <mergeCell ref="A104:B104"/>
    <mergeCell ref="A105:B105"/>
    <mergeCell ref="A107:B107"/>
    <mergeCell ref="A108:B108"/>
    <mergeCell ref="A93:B93"/>
    <mergeCell ref="A98:B98"/>
    <mergeCell ref="A99:B99"/>
    <mergeCell ref="A100:B100"/>
    <mergeCell ref="A92:B92"/>
    <mergeCell ref="A101:B101"/>
    <mergeCell ref="A75:B75"/>
    <mergeCell ref="A76:B76"/>
    <mergeCell ref="M87:M89"/>
    <mergeCell ref="B82:F82"/>
    <mergeCell ref="A91:B91"/>
    <mergeCell ref="A78:B78"/>
    <mergeCell ref="A84:F84"/>
    <mergeCell ref="A87:B89"/>
    <mergeCell ref="E87:G88"/>
    <mergeCell ref="H87:H90"/>
    <mergeCell ref="A68:B68"/>
    <mergeCell ref="A69:B69"/>
    <mergeCell ref="A70:B70"/>
    <mergeCell ref="B80:D80"/>
    <mergeCell ref="B81:F81"/>
    <mergeCell ref="B83:D83"/>
    <mergeCell ref="A71:B71"/>
    <mergeCell ref="A72:B72"/>
    <mergeCell ref="A73:B73"/>
    <mergeCell ref="A74:B74"/>
    <mergeCell ref="A61:B61"/>
    <mergeCell ref="A62:B62"/>
    <mergeCell ref="A64:B64"/>
    <mergeCell ref="A65:B65"/>
    <mergeCell ref="A66:B66"/>
    <mergeCell ref="A67:B67"/>
    <mergeCell ref="A55:B55"/>
    <mergeCell ref="A57:B57"/>
    <mergeCell ref="A58:B58"/>
    <mergeCell ref="A54:B54"/>
    <mergeCell ref="A59:B59"/>
    <mergeCell ref="A60:B60"/>
    <mergeCell ref="A37:B37"/>
    <mergeCell ref="A38:B38"/>
    <mergeCell ref="A39:B39"/>
    <mergeCell ref="A40:B40"/>
    <mergeCell ref="A47:B47"/>
    <mergeCell ref="A53:B53"/>
    <mergeCell ref="A31:B31"/>
    <mergeCell ref="A32:B32"/>
    <mergeCell ref="A33:B33"/>
    <mergeCell ref="A34:B34"/>
    <mergeCell ref="A35:B35"/>
    <mergeCell ref="A36:B36"/>
    <mergeCell ref="A19:B19"/>
    <mergeCell ref="A20:B20"/>
    <mergeCell ref="A21:B21"/>
    <mergeCell ref="A22:B22"/>
    <mergeCell ref="A23:B23"/>
    <mergeCell ref="A24:B24"/>
    <mergeCell ref="A5:F5"/>
    <mergeCell ref="A8:B10"/>
    <mergeCell ref="A13:B13"/>
    <mergeCell ref="A14:B14"/>
    <mergeCell ref="A17:B17"/>
    <mergeCell ref="A15:B15"/>
    <mergeCell ref="I87:K88"/>
    <mergeCell ref="L87:L89"/>
    <mergeCell ref="M8:M10"/>
    <mergeCell ref="A12:B12"/>
    <mergeCell ref="A16:B16"/>
    <mergeCell ref="A18:B18"/>
    <mergeCell ref="E8:G9"/>
    <mergeCell ref="H8:H11"/>
    <mergeCell ref="I8:K9"/>
    <mergeCell ref="L8:L10"/>
  </mergeCells>
  <printOptions horizontalCentered="1"/>
  <pageMargins left="0.42986111111111114" right="0.23611111111111113" top="0.5" bottom="0.39375" header="0.39" footer="0"/>
  <pageSetup fitToHeight="0" fitToWidth="1" horizontalDpi="600" verticalDpi="600" orientation="portrait" paperSize="9" scale="52" r:id="rId2"/>
  <headerFooter alignWithMargins="0">
    <oddFooter>&amp;C&amp;A</oddFooter>
  </headerFooter>
  <rowBreaks count="1" manualBreakCount="1">
    <brk id="79" max="255" man="1"/>
  </rowBreaks>
  <ignoredErrors>
    <ignoredError sqref="E103 I103 M103 D13 M17 M20 I17 J70 E62 J31 D46:E46 D98:E98 D100:E100 D123:E123 I123 I127 E127 M75 M70 M62 M57 M46 M35 M31 I46 I100 I98 M100 M98 M108 M113 M117 M119 M123 M127 M131 F17 G12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FX81"/>
  <sheetViews>
    <sheetView showGridLines="0" zoomScaleSheetLayoutView="109" zoomScalePageLayoutView="0" workbookViewId="0" topLeftCell="K19">
      <selection activeCell="O34" sqref="O34"/>
    </sheetView>
  </sheetViews>
  <sheetFormatPr defaultColWidth="9.140625" defaultRowHeight="15" customHeight="1"/>
  <cols>
    <col min="1" max="1" width="31.28125" style="170" customWidth="1"/>
    <col min="2" max="2" width="13.00390625" style="122" hidden="1" customWidth="1"/>
    <col min="3" max="3" width="13.57421875" style="121" hidden="1" customWidth="1"/>
    <col min="4" max="4" width="12.8515625" style="0" bestFit="1" customWidth="1"/>
    <col min="5" max="5" width="15.421875" style="120" customWidth="1"/>
    <col min="6" max="6" width="12.8515625" style="0" bestFit="1" customWidth="1"/>
    <col min="7" max="7" width="15.421875" style="120" customWidth="1"/>
    <col min="8" max="8" width="12.8515625" style="0" bestFit="1" customWidth="1"/>
    <col min="9" max="13" width="15.421875" style="120" customWidth="1"/>
    <col min="14" max="14" width="12.8515625" style="0" customWidth="1"/>
    <col min="15" max="15" width="15.421875" style="120" customWidth="1"/>
    <col min="16" max="16" width="15.00390625" style="528" customWidth="1"/>
    <col min="17" max="17" width="18.00390625" style="121" customWidth="1"/>
    <col min="18" max="18" width="18.8515625" style="121" customWidth="1"/>
    <col min="19" max="20" width="14.57421875" style="121" customWidth="1"/>
    <col min="21" max="21" width="13.57421875" style="121" bestFit="1" customWidth="1"/>
    <col min="22" max="23" width="11.140625" style="121" bestFit="1" customWidth="1"/>
    <col min="24" max="16384" width="9.140625" style="121" customWidth="1"/>
  </cols>
  <sheetData>
    <row r="1" spans="1:21" ht="15" customHeight="1">
      <c r="A1" s="1490" t="s">
        <v>807</v>
      </c>
      <c r="B1" s="1490"/>
      <c r="C1" s="1490"/>
      <c r="D1" s="1490"/>
      <c r="E1" s="1490"/>
      <c r="F1" s="1490"/>
      <c r="G1" s="1490"/>
      <c r="H1" s="1490"/>
      <c r="I1" s="1490"/>
      <c r="J1" s="1490"/>
      <c r="K1" s="1490"/>
      <c r="L1" s="1490"/>
      <c r="M1" s="1490"/>
      <c r="N1" s="1490"/>
      <c r="O1" s="1490"/>
      <c r="P1" s="1490"/>
      <c r="Q1" s="1490"/>
      <c r="R1" s="120"/>
      <c r="S1" s="120"/>
      <c r="T1" s="120"/>
      <c r="U1" s="120"/>
    </row>
    <row r="2" spans="1:21" ht="15" customHeight="1">
      <c r="A2" s="1490" t="s">
        <v>0</v>
      </c>
      <c r="B2" s="1490"/>
      <c r="C2" s="1490"/>
      <c r="D2" s="1490"/>
      <c r="E2" s="1490"/>
      <c r="F2" s="1490"/>
      <c r="G2" s="1490"/>
      <c r="H2" s="1490"/>
      <c r="I2" s="1490"/>
      <c r="J2" s="1490"/>
      <c r="K2" s="1490"/>
      <c r="L2" s="1490"/>
      <c r="M2" s="1490"/>
      <c r="N2" s="1490"/>
      <c r="O2" s="1490"/>
      <c r="P2" s="1490"/>
      <c r="Q2" s="1490"/>
      <c r="R2" s="120"/>
      <c r="S2" s="120"/>
      <c r="T2" s="120"/>
      <c r="U2" s="120"/>
    </row>
    <row r="3" spans="1:21" ht="15" customHeight="1">
      <c r="A3" s="1491" t="s">
        <v>183</v>
      </c>
      <c r="B3" s="1491"/>
      <c r="C3" s="1491"/>
      <c r="D3" s="1491"/>
      <c r="E3" s="1491"/>
      <c r="F3" s="1491"/>
      <c r="G3" s="1491"/>
      <c r="H3" s="1491"/>
      <c r="I3" s="1491"/>
      <c r="J3" s="1491"/>
      <c r="K3" s="1491"/>
      <c r="L3" s="1491"/>
      <c r="M3" s="1491"/>
      <c r="N3" s="1491"/>
      <c r="O3" s="1491"/>
      <c r="P3" s="1491"/>
      <c r="Q3" s="1491"/>
      <c r="R3" s="120"/>
      <c r="S3" s="120"/>
      <c r="T3" s="120"/>
      <c r="U3" s="120"/>
    </row>
    <row r="4" spans="1:21" ht="15" customHeight="1">
      <c r="A4" s="1492" t="s">
        <v>2</v>
      </c>
      <c r="B4" s="1492"/>
      <c r="C4" s="1492"/>
      <c r="D4" s="1492"/>
      <c r="E4" s="1492"/>
      <c r="F4" s="1492"/>
      <c r="G4" s="1492"/>
      <c r="H4" s="1492"/>
      <c r="I4" s="1492"/>
      <c r="J4" s="1492"/>
      <c r="K4" s="1492"/>
      <c r="L4" s="1492"/>
      <c r="M4" s="1492"/>
      <c r="N4" s="1492"/>
      <c r="O4" s="1492"/>
      <c r="P4" s="1492"/>
      <c r="Q4" s="1492"/>
      <c r="R4" s="378"/>
      <c r="S4" s="120"/>
      <c r="T4" s="120"/>
      <c r="U4" s="120"/>
    </row>
    <row r="5" spans="1:21" s="1" customFormat="1" ht="15.75" customHeight="1">
      <c r="A5" s="454" t="str">
        <f>'Anexo 1 _ BAL ORC'!A4:F4</f>
        <v>Referência: JANEIRO-JUNHO/2015; BIMESTRE: MAIO-JUNHO/2015</v>
      </c>
      <c r="B5" s="454"/>
      <c r="C5" s="454"/>
      <c r="D5" s="32"/>
      <c r="E5" s="32"/>
      <c r="F5" s="32"/>
      <c r="H5" s="1351"/>
      <c r="I5" s="1351"/>
      <c r="J5" s="1351"/>
      <c r="K5" s="1351"/>
      <c r="L5" s="1351"/>
      <c r="M5" s="1351" t="str">
        <f>'Anexo 1 _ BAL ORC'!H3</f>
        <v>Publicação: Diário Oficial do Município nº 140</v>
      </c>
      <c r="N5" s="32"/>
      <c r="O5" s="32"/>
      <c r="P5" s="1351"/>
      <c r="Q5" s="1351"/>
      <c r="R5" s="82"/>
      <c r="S5" s="82"/>
      <c r="T5" s="82"/>
      <c r="U5" s="32"/>
    </row>
    <row r="6" spans="1:21" ht="15" customHeight="1">
      <c r="A6" s="455"/>
      <c r="B6" s="455"/>
      <c r="C6" s="455"/>
      <c r="D6" s="1010"/>
      <c r="E6" s="378"/>
      <c r="F6" s="1010"/>
      <c r="H6" s="1352"/>
      <c r="I6" s="1352"/>
      <c r="J6" s="1352"/>
      <c r="K6" s="1352"/>
      <c r="L6" s="1352"/>
      <c r="M6" s="1352" t="str">
        <f>'Anexo 1 _ BAL ORC'!H4</f>
        <v>Data: 30/07/2015</v>
      </c>
      <c r="N6" s="1010"/>
      <c r="O6" s="378"/>
      <c r="P6" s="1352"/>
      <c r="Q6" s="175"/>
      <c r="R6" s="176"/>
      <c r="S6" s="176"/>
      <c r="T6" s="176"/>
      <c r="U6" s="120"/>
    </row>
    <row r="7" spans="1:21" ht="15" customHeight="1">
      <c r="A7" s="737" t="s">
        <v>821</v>
      </c>
      <c r="B7" s="456"/>
      <c r="C7" s="120"/>
      <c r="D7" s="1010"/>
      <c r="E7" s="378"/>
      <c r="F7" s="1010"/>
      <c r="G7" s="378"/>
      <c r="H7" s="1010"/>
      <c r="I7" s="378"/>
      <c r="J7" s="378"/>
      <c r="K7" s="378"/>
      <c r="L7" s="378"/>
      <c r="M7" s="378"/>
      <c r="N7" s="1010"/>
      <c r="O7" s="378"/>
      <c r="Q7" s="398"/>
      <c r="R7" s="534"/>
      <c r="S7" s="176"/>
      <c r="T7" s="176"/>
      <c r="U7" s="120"/>
    </row>
    <row r="8" spans="1:18" s="120" customFormat="1" ht="15" customHeight="1">
      <c r="A8" s="1493" t="s">
        <v>184</v>
      </c>
      <c r="B8" s="1486"/>
      <c r="C8" s="1487"/>
      <c r="D8" s="1497" t="s">
        <v>823</v>
      </c>
      <c r="E8" s="1484" t="s">
        <v>824</v>
      </c>
      <c r="F8" s="1482" t="s">
        <v>827</v>
      </c>
      <c r="G8" s="1488" t="s">
        <v>828</v>
      </c>
      <c r="H8" s="1495" t="s">
        <v>835</v>
      </c>
      <c r="I8" s="1484" t="s">
        <v>836</v>
      </c>
      <c r="J8" s="1488" t="s">
        <v>843</v>
      </c>
      <c r="K8" s="1488" t="s">
        <v>808</v>
      </c>
      <c r="L8" s="1482" t="s">
        <v>929</v>
      </c>
      <c r="M8" s="1488" t="s">
        <v>930</v>
      </c>
      <c r="N8" s="1482" t="s">
        <v>948</v>
      </c>
      <c r="O8" s="1484" t="s">
        <v>949</v>
      </c>
      <c r="P8" s="1498" t="s">
        <v>562</v>
      </c>
      <c r="Q8" s="1500" t="s">
        <v>919</v>
      </c>
      <c r="R8" s="738"/>
    </row>
    <row r="9" spans="1:18" s="120" customFormat="1" ht="15" customHeight="1">
      <c r="A9" s="1494"/>
      <c r="B9" s="178" t="s">
        <v>185</v>
      </c>
      <c r="C9" s="178" t="s">
        <v>186</v>
      </c>
      <c r="D9" s="1496"/>
      <c r="E9" s="1485"/>
      <c r="F9" s="1483"/>
      <c r="G9" s="1489"/>
      <c r="H9" s="1496"/>
      <c r="I9" s="1485"/>
      <c r="J9" s="1489"/>
      <c r="K9" s="1489"/>
      <c r="L9" s="1483"/>
      <c r="M9" s="1489"/>
      <c r="N9" s="1483"/>
      <c r="O9" s="1485"/>
      <c r="P9" s="1499"/>
      <c r="Q9" s="1501"/>
      <c r="R9" s="182"/>
    </row>
    <row r="10" spans="1:21" s="1262" customFormat="1" ht="15" customHeight="1">
      <c r="A10" s="729" t="s">
        <v>187</v>
      </c>
      <c r="B10" s="739">
        <f>B11+B17+B18+B19+B20+B29</f>
        <v>127873694.01</v>
      </c>
      <c r="C10" s="739">
        <f>C11+C17+C18+C19+C20+C29</f>
        <v>130000401.16999999</v>
      </c>
      <c r="D10" s="1011">
        <f>D11+D17+D18+D19+D20+D29</f>
        <v>179015003.92</v>
      </c>
      <c r="E10" s="740">
        <f>E11+E17+E18+E19+E20+E29</f>
        <v>194057666.51</v>
      </c>
      <c r="F10" s="740">
        <f>F11+F17+F18+F19+F20+F29</f>
        <v>178691282.61999997</v>
      </c>
      <c r="G10" s="740">
        <f aca="true" t="shared" si="0" ref="G10:O10">G11+G17+G18+G19+G20+G29</f>
        <v>183683216.73999998</v>
      </c>
      <c r="H10" s="740">
        <f t="shared" si="0"/>
        <v>188337852.66</v>
      </c>
      <c r="I10" s="740">
        <f t="shared" si="0"/>
        <v>225341841.82000005</v>
      </c>
      <c r="J10" s="740">
        <f t="shared" si="0"/>
        <v>207310123.88000003</v>
      </c>
      <c r="K10" s="740">
        <f t="shared" si="0"/>
        <v>217451144.79000002</v>
      </c>
      <c r="L10" s="740">
        <f t="shared" si="0"/>
        <v>187315904.65</v>
      </c>
      <c r="M10" s="740">
        <f t="shared" si="0"/>
        <v>220895724.88000003</v>
      </c>
      <c r="N10" s="740">
        <f t="shared" si="0"/>
        <v>211204730.59</v>
      </c>
      <c r="O10" s="740">
        <f t="shared" si="0"/>
        <v>223916060.40000004</v>
      </c>
      <c r="P10" s="740">
        <f>P11+P17+P18+P19+P20+P29</f>
        <v>2417220553.46</v>
      </c>
      <c r="Q10" s="741">
        <f>Q11+Q17+Q18+Q19+Q20+Q29</f>
        <v>2702520395.13</v>
      </c>
      <c r="R10" s="735"/>
      <c r="S10" s="907"/>
      <c r="T10" s="1259"/>
      <c r="U10" s="1260"/>
    </row>
    <row r="11" spans="1:30" s="1262" customFormat="1" ht="15" customHeight="1">
      <c r="A11" s="730" t="s">
        <v>188</v>
      </c>
      <c r="B11" s="742">
        <f>B12+B13+B14+B16+B15</f>
        <v>34116237.169999994</v>
      </c>
      <c r="C11" s="742">
        <f>C12+C13+C14+C16+C15</f>
        <v>26251771.72</v>
      </c>
      <c r="D11" s="744">
        <f>D12+D13+D14+D15+D16</f>
        <v>42946382.65</v>
      </c>
      <c r="E11" s="743">
        <f aca="true" t="shared" si="1" ref="E11:Q11">E12+E13+E14+E15+E16</f>
        <v>50519664.13</v>
      </c>
      <c r="F11" s="743">
        <f t="shared" si="1"/>
        <v>46770710.29</v>
      </c>
      <c r="G11" s="743">
        <f t="shared" si="1"/>
        <v>46460629.269999996</v>
      </c>
      <c r="H11" s="743">
        <f t="shared" si="1"/>
        <v>46078128.13</v>
      </c>
      <c r="I11" s="743">
        <f t="shared" si="1"/>
        <v>51950189.76000001</v>
      </c>
      <c r="J11" s="743">
        <f t="shared" si="1"/>
        <v>46255823.69</v>
      </c>
      <c r="K11" s="743">
        <f t="shared" si="1"/>
        <v>38679179.93</v>
      </c>
      <c r="L11" s="743">
        <f t="shared" si="1"/>
        <v>45026892.3</v>
      </c>
      <c r="M11" s="743">
        <f>M12+M13+M14+M15+M16</f>
        <v>43856093.79</v>
      </c>
      <c r="N11" s="743">
        <f>N12+N13+N14+N15+N16</f>
        <v>61753162.45</v>
      </c>
      <c r="O11" s="743">
        <f>O12+O13+O14+O15+O16</f>
        <v>64264623.16</v>
      </c>
      <c r="P11" s="743">
        <f t="shared" si="1"/>
        <v>584561479.55</v>
      </c>
      <c r="Q11" s="744">
        <f t="shared" si="1"/>
        <v>652506865</v>
      </c>
      <c r="R11" s="743"/>
      <c r="S11" s="905"/>
      <c r="T11" s="1263"/>
      <c r="U11" s="1264"/>
      <c r="V11" s="1265"/>
      <c r="W11" s="1265"/>
      <c r="X11" s="1265"/>
      <c r="Y11" s="1265"/>
      <c r="Z11" s="1265"/>
      <c r="AA11" s="1265"/>
      <c r="AB11" s="1265"/>
      <c r="AC11" s="1265"/>
      <c r="AD11" s="1265"/>
    </row>
    <row r="12" spans="1:21" s="1261" customFormat="1" ht="15" customHeight="1">
      <c r="A12" s="1266" t="s">
        <v>189</v>
      </c>
      <c r="B12" s="745">
        <v>10930798.32</v>
      </c>
      <c r="C12" s="745">
        <v>2532213.38</v>
      </c>
      <c r="D12" s="751">
        <v>5025403.67</v>
      </c>
      <c r="E12" s="746">
        <v>3824368.94</v>
      </c>
      <c r="F12" s="751">
        <v>2784510.32</v>
      </c>
      <c r="G12" s="746">
        <v>2506255.11</v>
      </c>
      <c r="H12" s="746">
        <v>2054836.4</v>
      </c>
      <c r="I12" s="746">
        <v>3341018.52</v>
      </c>
      <c r="J12" s="746">
        <v>13705.2</v>
      </c>
      <c r="K12" s="746">
        <v>83720.8</v>
      </c>
      <c r="L12" s="746">
        <v>175924.42</v>
      </c>
      <c r="M12" s="746">
        <v>420512.43</v>
      </c>
      <c r="N12" s="746">
        <v>14573769.98</v>
      </c>
      <c r="O12" s="746">
        <v>20613028.57</v>
      </c>
      <c r="P12" s="747">
        <f aca="true" t="shared" si="2" ref="P12:P19">SUM(D12:O12)</f>
        <v>55417054.36000001</v>
      </c>
      <c r="Q12" s="728">
        <v>51278597</v>
      </c>
      <c r="R12" s="1259"/>
      <c r="S12" s="1259"/>
      <c r="T12" s="1259"/>
      <c r="U12" s="1267"/>
    </row>
    <row r="13" spans="1:23" s="1261" customFormat="1" ht="15" customHeight="1">
      <c r="A13" s="1266" t="s">
        <v>190</v>
      </c>
      <c r="B13" s="745">
        <v>19872263.16</v>
      </c>
      <c r="C13" s="745">
        <v>20590409.12</v>
      </c>
      <c r="D13" s="751">
        <v>30933367.58</v>
      </c>
      <c r="E13" s="746">
        <v>38446167.29</v>
      </c>
      <c r="F13" s="751">
        <v>36556892.59</v>
      </c>
      <c r="G13" s="746">
        <v>36581886.26</v>
      </c>
      <c r="H13" s="746">
        <v>37524110.1</v>
      </c>
      <c r="I13" s="746">
        <v>39421619.77</v>
      </c>
      <c r="J13" s="746">
        <v>37246709.23</v>
      </c>
      <c r="K13" s="746">
        <v>32277211.27</v>
      </c>
      <c r="L13" s="746">
        <v>32805909.72</v>
      </c>
      <c r="M13" s="746">
        <v>35506075.08</v>
      </c>
      <c r="N13" s="746">
        <v>36137669.66</v>
      </c>
      <c r="O13" s="746">
        <v>36245429.42</v>
      </c>
      <c r="P13" s="747">
        <f t="shared" si="2"/>
        <v>429683047.96999997</v>
      </c>
      <c r="Q13" s="728">
        <v>509804371</v>
      </c>
      <c r="R13" s="1259"/>
      <c r="S13" s="1259"/>
      <c r="T13" s="1259"/>
      <c r="U13" s="1267"/>
      <c r="V13" s="1268"/>
      <c r="W13" s="1269"/>
    </row>
    <row r="14" spans="1:22" s="1261" customFormat="1" ht="15" customHeight="1">
      <c r="A14" s="1266" t="s">
        <v>191</v>
      </c>
      <c r="B14" s="745">
        <v>665932.47</v>
      </c>
      <c r="C14" s="745">
        <v>865344.59</v>
      </c>
      <c r="D14" s="751">
        <v>2311338.44</v>
      </c>
      <c r="E14" s="746">
        <v>2479572.56</v>
      </c>
      <c r="F14" s="751">
        <v>2390460.37</v>
      </c>
      <c r="G14" s="746">
        <v>3062216.61</v>
      </c>
      <c r="H14" s="746">
        <v>2217935.44</v>
      </c>
      <c r="I14" s="746">
        <v>2882104.77</v>
      </c>
      <c r="J14" s="746">
        <v>2585913.35</v>
      </c>
      <c r="K14" s="746">
        <v>2043737.98</v>
      </c>
      <c r="L14" s="746">
        <v>2439972.65</v>
      </c>
      <c r="M14" s="746">
        <v>2724702.21</v>
      </c>
      <c r="N14" s="746">
        <v>2756108.19</v>
      </c>
      <c r="O14" s="746">
        <v>2097070.72</v>
      </c>
      <c r="P14" s="747">
        <f t="shared" si="2"/>
        <v>29991133.29</v>
      </c>
      <c r="Q14" s="748">
        <v>30629116</v>
      </c>
      <c r="R14" s="1259"/>
      <c r="S14" s="1259"/>
      <c r="T14" s="1259"/>
      <c r="U14" s="1267"/>
      <c r="V14" s="1268"/>
    </row>
    <row r="15" spans="1:22" s="1261" customFormat="1" ht="15" customHeight="1">
      <c r="A15" s="1266" t="s">
        <v>192</v>
      </c>
      <c r="B15" s="745">
        <v>1742328.89</v>
      </c>
      <c r="C15" s="745">
        <v>1555745.25</v>
      </c>
      <c r="D15" s="751">
        <v>3714609.97</v>
      </c>
      <c r="E15" s="746">
        <v>4841317.33</v>
      </c>
      <c r="F15" s="751">
        <v>3769833.65</v>
      </c>
      <c r="G15" s="746">
        <v>3771438.26</v>
      </c>
      <c r="H15" s="746">
        <v>3688863.42</v>
      </c>
      <c r="I15" s="746">
        <v>5429451.66</v>
      </c>
      <c r="J15" s="746">
        <v>6021279.04</v>
      </c>
      <c r="K15" s="746">
        <v>3954756.93</v>
      </c>
      <c r="L15" s="746">
        <v>3933487.13</v>
      </c>
      <c r="M15" s="746">
        <v>4081344.51</v>
      </c>
      <c r="N15" s="746">
        <v>6185574.39</v>
      </c>
      <c r="O15" s="746">
        <v>4500324.14</v>
      </c>
      <c r="P15" s="747">
        <f t="shared" si="2"/>
        <v>53892280.43000001</v>
      </c>
      <c r="Q15" s="748">
        <v>43270749</v>
      </c>
      <c r="R15" s="1259"/>
      <c r="S15" s="1259"/>
      <c r="T15" s="1259"/>
      <c r="U15" s="1267"/>
      <c r="V15" s="1268"/>
    </row>
    <row r="16" spans="1:22" s="287" customFormat="1" ht="15" customHeight="1">
      <c r="A16" s="1266" t="s">
        <v>193</v>
      </c>
      <c r="B16" s="746">
        <v>904914.33</v>
      </c>
      <c r="C16" s="746">
        <v>708059.38</v>
      </c>
      <c r="D16" s="949">
        <f>42946382.65-41984719.66</f>
        <v>961662.9900000021</v>
      </c>
      <c r="E16" s="547">
        <f>50519664.13-49591426.12</f>
        <v>928238.0100000054</v>
      </c>
      <c r="F16" s="949">
        <f>46770710.29-45501696.93</f>
        <v>1269013.3599999994</v>
      </c>
      <c r="G16" s="547">
        <f>46460629.27-45921796.24</f>
        <v>538833.0300000012</v>
      </c>
      <c r="H16" s="547">
        <f>46078128.13-45485745.36</f>
        <v>592382.7700000033</v>
      </c>
      <c r="I16" s="547">
        <f>51950189.76-51074194.72</f>
        <v>875995.0399999991</v>
      </c>
      <c r="J16" s="547">
        <f>46255823.69-45867606.82</f>
        <v>388216.8699999973</v>
      </c>
      <c r="K16" s="547">
        <f>38679179.93-38359426.98</f>
        <v>319752.950000003</v>
      </c>
      <c r="L16" s="1001">
        <f>45026892.3-39355293.92</f>
        <v>5671598.379999995</v>
      </c>
      <c r="M16" s="547">
        <f>43856093.79-42732634.23</f>
        <v>1123459.5600000024</v>
      </c>
      <c r="N16" s="1001">
        <f>61753162.45-59653122.22</f>
        <v>2100040.230000004</v>
      </c>
      <c r="O16" s="547">
        <f>64264623.16-63455852.85</f>
        <v>808770.3099999949</v>
      </c>
      <c r="P16" s="747">
        <f t="shared" si="2"/>
        <v>15577963.500000007</v>
      </c>
      <c r="Q16" s="728">
        <f>652506865-634982833</f>
        <v>17524032</v>
      </c>
      <c r="R16" s="371"/>
      <c r="S16" s="1259"/>
      <c r="T16" s="371"/>
      <c r="U16" s="1267"/>
      <c r="V16" s="235"/>
    </row>
    <row r="17" spans="1:21" s="1265" customFormat="1" ht="15" customHeight="1">
      <c r="A17" s="730" t="s">
        <v>194</v>
      </c>
      <c r="B17" s="742">
        <v>5577502.2</v>
      </c>
      <c r="C17" s="742">
        <v>5595518.79</v>
      </c>
      <c r="D17" s="752">
        <v>11292978.11</v>
      </c>
      <c r="E17" s="735">
        <v>9770981.43</v>
      </c>
      <c r="F17" s="752">
        <v>10576013.46</v>
      </c>
      <c r="G17" s="735">
        <v>14201720.1</v>
      </c>
      <c r="H17" s="735">
        <v>10834109.05</v>
      </c>
      <c r="I17" s="735">
        <v>13030596.9</v>
      </c>
      <c r="J17" s="735">
        <v>12681071.23</v>
      </c>
      <c r="K17" s="735">
        <v>10218445.25</v>
      </c>
      <c r="L17" s="752">
        <v>10759874.67</v>
      </c>
      <c r="M17" s="735">
        <v>12521884.33</v>
      </c>
      <c r="N17" s="735">
        <v>11202164.71</v>
      </c>
      <c r="O17" s="735">
        <v>11946897.89</v>
      </c>
      <c r="P17" s="747">
        <f t="shared" si="2"/>
        <v>139036737.13</v>
      </c>
      <c r="Q17" s="736">
        <v>137827629</v>
      </c>
      <c r="R17" s="1263"/>
      <c r="S17" s="1263"/>
      <c r="T17" s="905"/>
      <c r="U17" s="686"/>
    </row>
    <row r="18" spans="1:21" s="1265" customFormat="1" ht="15" customHeight="1">
      <c r="A18" s="730" t="s">
        <v>195</v>
      </c>
      <c r="B18" s="742">
        <v>1200062.19</v>
      </c>
      <c r="C18" s="742">
        <v>1489572.4</v>
      </c>
      <c r="D18" s="752">
        <v>2988380.75</v>
      </c>
      <c r="E18" s="735">
        <v>8145073.07</v>
      </c>
      <c r="F18" s="752">
        <v>1860487.97</v>
      </c>
      <c r="G18" s="735">
        <v>3795748.64</v>
      </c>
      <c r="H18" s="735">
        <v>3821122.72</v>
      </c>
      <c r="I18" s="735">
        <v>6918543.6</v>
      </c>
      <c r="J18" s="735">
        <v>2535730.02</v>
      </c>
      <c r="K18" s="735">
        <v>2978054.94</v>
      </c>
      <c r="L18" s="752">
        <v>2719823.03</v>
      </c>
      <c r="M18" s="735">
        <v>3456742.12</v>
      </c>
      <c r="N18" s="735">
        <v>3137141.9</v>
      </c>
      <c r="O18" s="735">
        <v>3350958.34</v>
      </c>
      <c r="P18" s="747">
        <f t="shared" si="2"/>
        <v>45707807.099999994</v>
      </c>
      <c r="Q18" s="736">
        <v>39189925</v>
      </c>
      <c r="R18" s="563"/>
      <c r="S18" s="1270"/>
      <c r="T18" s="905"/>
      <c r="U18" s="686"/>
    </row>
    <row r="19" spans="1:21" s="1265" customFormat="1" ht="15" customHeight="1">
      <c r="A19" s="1271" t="s">
        <v>31</v>
      </c>
      <c r="B19" s="742">
        <v>6667.71</v>
      </c>
      <c r="C19" s="742">
        <v>8520.57</v>
      </c>
      <c r="D19" s="752">
        <v>6795.58</v>
      </c>
      <c r="E19" s="735">
        <v>89995.36</v>
      </c>
      <c r="F19" s="752">
        <v>9839.26</v>
      </c>
      <c r="G19" s="735">
        <v>12622.82</v>
      </c>
      <c r="H19" s="735">
        <v>18986.69</v>
      </c>
      <c r="I19" s="735">
        <v>18868.78</v>
      </c>
      <c r="J19" s="735">
        <v>24459.85</v>
      </c>
      <c r="K19" s="735">
        <v>20659.97</v>
      </c>
      <c r="L19" s="752">
        <v>49107.43</v>
      </c>
      <c r="M19" s="735">
        <v>33842.95</v>
      </c>
      <c r="N19" s="735">
        <v>42929.69</v>
      </c>
      <c r="O19" s="735">
        <v>16797.34</v>
      </c>
      <c r="P19" s="747">
        <f t="shared" si="2"/>
        <v>344905.72000000003</v>
      </c>
      <c r="Q19" s="749">
        <v>150102</v>
      </c>
      <c r="R19" s="1263"/>
      <c r="S19" s="1263"/>
      <c r="T19" s="905"/>
      <c r="U19" s="686"/>
    </row>
    <row r="20" spans="1:30" s="1262" customFormat="1" ht="15" customHeight="1">
      <c r="A20" s="1271" t="s">
        <v>196</v>
      </c>
      <c r="B20" s="742">
        <f>SUM(B21:B28)</f>
        <v>85102073.65</v>
      </c>
      <c r="C20" s="742">
        <f>SUM(C21:C28)</f>
        <v>94872944.72</v>
      </c>
      <c r="D20" s="735">
        <f aca="true" t="shared" si="3" ref="D20:I20">SUM(D21:D28)</f>
        <v>116991273.21999998</v>
      </c>
      <c r="E20" s="735">
        <f t="shared" si="3"/>
        <v>120050889.4</v>
      </c>
      <c r="F20" s="735">
        <f t="shared" si="3"/>
        <v>114188210.56999998</v>
      </c>
      <c r="G20" s="735">
        <f t="shared" si="3"/>
        <v>115140733.81</v>
      </c>
      <c r="H20" s="735">
        <f>SUM(H21:H28)</f>
        <v>122909206.8</v>
      </c>
      <c r="I20" s="735">
        <f t="shared" si="3"/>
        <v>145874637.23000002</v>
      </c>
      <c r="J20" s="735">
        <f aca="true" t="shared" si="4" ref="J20:Q20">SUM(J21:J28)</f>
        <v>138738209.01</v>
      </c>
      <c r="K20" s="735">
        <f t="shared" si="4"/>
        <v>160647908.4</v>
      </c>
      <c r="L20" s="735">
        <f t="shared" si="4"/>
        <v>121363588.62000002</v>
      </c>
      <c r="M20" s="735">
        <f t="shared" si="4"/>
        <v>157360880.08</v>
      </c>
      <c r="N20" s="735">
        <f t="shared" si="4"/>
        <v>128576839.18999998</v>
      </c>
      <c r="O20" s="735">
        <f>SUM(O21:O28)</f>
        <v>139644451.36</v>
      </c>
      <c r="P20" s="735">
        <f t="shared" si="4"/>
        <v>1581486827.69</v>
      </c>
      <c r="Q20" s="736">
        <f t="shared" si="4"/>
        <v>1809388195.13</v>
      </c>
      <c r="R20" s="735"/>
      <c r="S20" s="905"/>
      <c r="T20" s="905"/>
      <c r="U20" s="1264"/>
      <c r="V20" s="1265"/>
      <c r="W20" s="1265"/>
      <c r="X20" s="1265"/>
      <c r="Y20" s="1265"/>
      <c r="Z20" s="1265"/>
      <c r="AA20" s="1265"/>
      <c r="AB20" s="1265"/>
      <c r="AC20" s="1265"/>
      <c r="AD20" s="1265"/>
    </row>
    <row r="21" spans="1:21" s="1261" customFormat="1" ht="15" customHeight="1">
      <c r="A21" s="1254" t="s">
        <v>197</v>
      </c>
      <c r="B21" s="745">
        <v>23837662.26</v>
      </c>
      <c r="C21" s="745">
        <v>20568609.89</v>
      </c>
      <c r="D21" s="751">
        <v>26343288.89</v>
      </c>
      <c r="E21" s="746">
        <v>32002614.01</v>
      </c>
      <c r="F21" s="751">
        <v>28052966.98</v>
      </c>
      <c r="G21" s="746">
        <v>26512942.68</v>
      </c>
      <c r="H21" s="746">
        <v>35093270.1</v>
      </c>
      <c r="I21" s="746">
        <v>56444226.45</v>
      </c>
      <c r="J21" s="746">
        <v>42926518.42</v>
      </c>
      <c r="K21" s="746">
        <v>43819658.77</v>
      </c>
      <c r="L21" s="751">
        <v>31916185.06</v>
      </c>
      <c r="M21" s="746">
        <v>34446021.01</v>
      </c>
      <c r="N21" s="746">
        <v>42358997.23</v>
      </c>
      <c r="O21" s="746">
        <v>36856621.88</v>
      </c>
      <c r="P21" s="747">
        <f aca="true" t="shared" si="5" ref="P21:P29">SUM(D21:O21)</f>
        <v>436773311.48</v>
      </c>
      <c r="Q21" s="728">
        <v>559790291</v>
      </c>
      <c r="R21" s="1259"/>
      <c r="S21" s="1272"/>
      <c r="T21" s="907"/>
      <c r="U21" s="750"/>
    </row>
    <row r="22" spans="1:21" s="1261" customFormat="1" ht="15" customHeight="1">
      <c r="A22" s="1254" t="s">
        <v>198</v>
      </c>
      <c r="B22" s="745">
        <v>18440365.8</v>
      </c>
      <c r="C22" s="745">
        <v>19955818.11</v>
      </c>
      <c r="D22" s="751">
        <v>32025547.85</v>
      </c>
      <c r="E22" s="746">
        <v>34168635.11</v>
      </c>
      <c r="F22" s="751">
        <v>35239794.05</v>
      </c>
      <c r="G22" s="746">
        <v>37642990.51</v>
      </c>
      <c r="H22" s="746">
        <v>36545709.16</v>
      </c>
      <c r="I22" s="746">
        <v>37868319.49</v>
      </c>
      <c r="J22" s="746">
        <v>31274203.06</v>
      </c>
      <c r="K22" s="746">
        <v>33751260.1</v>
      </c>
      <c r="L22" s="751">
        <v>28993301.36</v>
      </c>
      <c r="M22" s="746">
        <v>30414156.27</v>
      </c>
      <c r="N22" s="746">
        <v>29369937.38</v>
      </c>
      <c r="O22" s="746">
        <v>35843297.33</v>
      </c>
      <c r="P22" s="747">
        <f t="shared" si="5"/>
        <v>403137151.66999996</v>
      </c>
      <c r="Q22" s="728">
        <v>452602097</v>
      </c>
      <c r="R22" s="1273"/>
      <c r="S22" s="1259"/>
      <c r="T22" s="1259"/>
      <c r="U22" s="1260"/>
    </row>
    <row r="23" spans="1:22" s="1261" customFormat="1" ht="15" customHeight="1">
      <c r="A23" s="1254" t="s">
        <v>199</v>
      </c>
      <c r="B23" s="745">
        <v>4478497.12</v>
      </c>
      <c r="C23" s="745">
        <v>4714661.46</v>
      </c>
      <c r="D23" s="751">
        <v>4264306.11</v>
      </c>
      <c r="E23" s="746">
        <v>4360606.1</v>
      </c>
      <c r="F23" s="751">
        <v>3319428.36</v>
      </c>
      <c r="G23" s="746">
        <v>1730499.36</v>
      </c>
      <c r="H23" s="746">
        <v>1892840.38</v>
      </c>
      <c r="I23" s="746">
        <v>1790811.26</v>
      </c>
      <c r="J23" s="746">
        <v>6069164.91</v>
      </c>
      <c r="K23" s="746">
        <v>19974049.87</v>
      </c>
      <c r="L23" s="751">
        <v>12646958.2</v>
      </c>
      <c r="M23" s="746">
        <v>9255563.55</v>
      </c>
      <c r="N23" s="746">
        <v>8589577.37</v>
      </c>
      <c r="O23" s="746">
        <v>6509364.11</v>
      </c>
      <c r="P23" s="747">
        <f t="shared" si="5"/>
        <v>80403169.58</v>
      </c>
      <c r="Q23" s="728">
        <v>88974010</v>
      </c>
      <c r="R23" s="1259"/>
      <c r="S23" s="1259"/>
      <c r="T23" s="1259"/>
      <c r="U23" s="1260"/>
      <c r="V23" s="1269"/>
    </row>
    <row r="24" spans="1:21" s="1261" customFormat="1" ht="15" customHeight="1">
      <c r="A24" s="1254" t="s">
        <v>200</v>
      </c>
      <c r="B24" s="745">
        <v>150.79</v>
      </c>
      <c r="C24" s="745">
        <v>251.89</v>
      </c>
      <c r="D24" s="751">
        <v>36.42</v>
      </c>
      <c r="E24" s="746">
        <v>60.44</v>
      </c>
      <c r="F24" s="751">
        <v>1844.83</v>
      </c>
      <c r="G24" s="746">
        <v>2900.53</v>
      </c>
      <c r="H24" s="746">
        <v>1500.72</v>
      </c>
      <c r="I24" s="746">
        <v>298.7</v>
      </c>
      <c r="J24" s="746">
        <v>3796.76</v>
      </c>
      <c r="K24" s="746">
        <v>26.1</v>
      </c>
      <c r="L24" s="751">
        <v>166.43</v>
      </c>
      <c r="M24" s="746">
        <v>182.17</v>
      </c>
      <c r="N24" s="746">
        <v>110.35</v>
      </c>
      <c r="O24" s="746">
        <v>243.63</v>
      </c>
      <c r="P24" s="747">
        <f t="shared" si="5"/>
        <v>11167.080000000002</v>
      </c>
      <c r="Q24" s="728">
        <v>24850</v>
      </c>
      <c r="R24" s="1259"/>
      <c r="S24" s="1259"/>
      <c r="T24" s="1259"/>
      <c r="U24" s="1260"/>
    </row>
    <row r="25" spans="1:21" s="1261" customFormat="1" ht="15" customHeight="1">
      <c r="A25" s="1254" t="s">
        <v>201</v>
      </c>
      <c r="B25" s="745">
        <v>290965.38</v>
      </c>
      <c r="C25" s="745">
        <f>B25</f>
        <v>290965.38</v>
      </c>
      <c r="D25" s="751">
        <v>248369.51</v>
      </c>
      <c r="E25" s="746">
        <v>248369.51</v>
      </c>
      <c r="F25" s="751">
        <v>248369.51</v>
      </c>
      <c r="G25" s="746">
        <v>248369.51</v>
      </c>
      <c r="H25" s="746">
        <v>248369.51</v>
      </c>
      <c r="I25" s="746">
        <v>496739.02</v>
      </c>
      <c r="J25" s="746">
        <v>0</v>
      </c>
      <c r="K25" s="746">
        <v>0</v>
      </c>
      <c r="L25" s="751">
        <v>0</v>
      </c>
      <c r="M25" s="746">
        <v>904314.3</v>
      </c>
      <c r="N25" s="746">
        <v>226078.65</v>
      </c>
      <c r="O25" s="746">
        <v>226078.65</v>
      </c>
      <c r="P25" s="747">
        <f t="shared" si="5"/>
        <v>3095058.17</v>
      </c>
      <c r="Q25" s="728">
        <v>3469208</v>
      </c>
      <c r="R25" s="1259"/>
      <c r="S25" s="1272"/>
      <c r="T25" s="1259"/>
      <c r="U25" s="1260"/>
    </row>
    <row r="26" spans="1:21" s="1261" customFormat="1" ht="15" customHeight="1">
      <c r="A26" s="1254" t="s">
        <v>202</v>
      </c>
      <c r="B26" s="745"/>
      <c r="C26" s="745"/>
      <c r="D26" s="751">
        <v>320370.65</v>
      </c>
      <c r="E26" s="746">
        <v>330231.48</v>
      </c>
      <c r="F26" s="751">
        <v>310764.92</v>
      </c>
      <c r="G26" s="746">
        <v>332803.09</v>
      </c>
      <c r="H26" s="950">
        <v>382157.22</v>
      </c>
      <c r="I26" s="746">
        <v>377078.06</v>
      </c>
      <c r="J26" s="746">
        <v>0</v>
      </c>
      <c r="K26" s="746">
        <v>0</v>
      </c>
      <c r="L26" s="751">
        <v>0</v>
      </c>
      <c r="M26" s="746"/>
      <c r="N26" s="746">
        <v>798225.07</v>
      </c>
      <c r="O26" s="746">
        <v>254505.41</v>
      </c>
      <c r="P26" s="747">
        <f t="shared" si="5"/>
        <v>3106135.9000000004</v>
      </c>
      <c r="Q26" s="728">
        <v>3654191</v>
      </c>
      <c r="R26" s="1259"/>
      <c r="S26" s="1259"/>
      <c r="T26" s="1259"/>
      <c r="U26" s="1260"/>
    </row>
    <row r="27" spans="1:21" s="1261" customFormat="1" ht="15" customHeight="1">
      <c r="A27" s="1254" t="s">
        <v>203</v>
      </c>
      <c r="B27" s="745">
        <v>16163396.33</v>
      </c>
      <c r="C27" s="745">
        <v>23889755.74</v>
      </c>
      <c r="D27" s="751">
        <v>18139829.58</v>
      </c>
      <c r="E27" s="751">
        <v>19623461.35</v>
      </c>
      <c r="F27" s="751">
        <v>18860635.8</v>
      </c>
      <c r="G27" s="750">
        <v>18748394.04</v>
      </c>
      <c r="H27" s="950">
        <v>20503658.57</v>
      </c>
      <c r="I27" s="951">
        <v>21511526.57</v>
      </c>
      <c r="J27" s="728">
        <v>22057701.28</v>
      </c>
      <c r="K27" s="750">
        <v>42046718.71</v>
      </c>
      <c r="L27" s="751">
        <v>21097915.68</v>
      </c>
      <c r="M27" s="750">
        <v>54731326.66</v>
      </c>
      <c r="N27" s="751">
        <v>13684874.1</v>
      </c>
      <c r="O27" s="751">
        <v>13168085.05</v>
      </c>
      <c r="P27" s="747">
        <f t="shared" si="5"/>
        <v>284174127.39000005</v>
      </c>
      <c r="Q27" s="728">
        <v>143605365</v>
      </c>
      <c r="R27" s="1259"/>
      <c r="S27" s="1259"/>
      <c r="T27" s="1259"/>
      <c r="U27" s="1260"/>
    </row>
    <row r="28" spans="1:21" s="1261" customFormat="1" ht="15" customHeight="1">
      <c r="A28" s="1254" t="s">
        <v>204</v>
      </c>
      <c r="B28" s="745">
        <v>21891035.97</v>
      </c>
      <c r="C28" s="745">
        <v>25452882.25</v>
      </c>
      <c r="D28" s="949">
        <f>116991273.22-81341749.01</f>
        <v>35649524.20999999</v>
      </c>
      <c r="E28" s="1255">
        <f>120050889.4-90733978</f>
        <v>29316911.400000006</v>
      </c>
      <c r="F28" s="949">
        <f>114188210.57-86033804.45</f>
        <v>28154406.11999999</v>
      </c>
      <c r="G28" s="371">
        <f>115140733.81-85218899.72</f>
        <v>29921834.090000004</v>
      </c>
      <c r="H28" s="1256">
        <f>122909206.8-94667505.66</f>
        <v>28241701.14</v>
      </c>
      <c r="I28" s="1257">
        <f>145874637.23-118488999.55</f>
        <v>27385637.679999992</v>
      </c>
      <c r="J28" s="1258">
        <f>138738209.01-102331384.43</f>
        <v>36406824.57999998</v>
      </c>
      <c r="K28" s="464">
        <f>160647908.4-139591713.55</f>
        <v>21056194.849999994</v>
      </c>
      <c r="L28" s="1347">
        <f>121363588.62-94654526.73</f>
        <v>26709061.89</v>
      </c>
      <c r="M28" s="464">
        <f>157360880.08-129751563.96</f>
        <v>27609316.12000002</v>
      </c>
      <c r="N28" s="1347">
        <f>128576839.19-95027800.15</f>
        <v>33549039.03999999</v>
      </c>
      <c r="O28" s="1255">
        <f>139644451.36-92858196.06</f>
        <v>46786255.30000001</v>
      </c>
      <c r="P28" s="747">
        <f t="shared" si="5"/>
        <v>370786706.42</v>
      </c>
      <c r="Q28" s="728">
        <f>1809388195.13-1252120012</f>
        <v>557268183.1300001</v>
      </c>
      <c r="R28" s="1259"/>
      <c r="S28" s="1259"/>
      <c r="T28" s="1259"/>
      <c r="U28" s="1260"/>
    </row>
    <row r="29" spans="1:21" s="1265" customFormat="1" ht="15" customHeight="1">
      <c r="A29" s="1271" t="s">
        <v>205</v>
      </c>
      <c r="B29" s="742">
        <v>1871151.09</v>
      </c>
      <c r="C29" s="742">
        <v>1782072.97</v>
      </c>
      <c r="D29" s="752">
        <v>4789193.61</v>
      </c>
      <c r="E29" s="752">
        <v>5481063.12</v>
      </c>
      <c r="F29" s="752">
        <v>5286021.07</v>
      </c>
      <c r="G29" s="686">
        <v>4071762.1</v>
      </c>
      <c r="H29" s="952">
        <v>4676299.27</v>
      </c>
      <c r="I29" s="953">
        <v>7549005.55</v>
      </c>
      <c r="J29" s="736">
        <f>6264249.12+810580.96</f>
        <v>7074830.08</v>
      </c>
      <c r="K29" s="686">
        <f>11981726.38-7074830.08</f>
        <v>4906896.300000001</v>
      </c>
      <c r="L29" s="752">
        <v>7396618.6</v>
      </c>
      <c r="M29" s="686">
        <v>3666281.61</v>
      </c>
      <c r="N29" s="752">
        <v>6492492.65</v>
      </c>
      <c r="O29" s="752">
        <v>4692332.31</v>
      </c>
      <c r="P29" s="747">
        <f t="shared" si="5"/>
        <v>66082796.27000001</v>
      </c>
      <c r="Q29" s="736">
        <v>63457679</v>
      </c>
      <c r="R29" s="906"/>
      <c r="S29" s="1263"/>
      <c r="T29" s="1263"/>
      <c r="U29" s="1264"/>
    </row>
    <row r="30" spans="1:180" s="1262" customFormat="1" ht="15" customHeight="1">
      <c r="A30" s="730" t="s">
        <v>206</v>
      </c>
      <c r="B30" s="753">
        <f>B31+B33+B32</f>
        <v>12149540.29</v>
      </c>
      <c r="C30" s="753">
        <f>C31+C33+C32</f>
        <v>11808330.88</v>
      </c>
      <c r="D30" s="735">
        <f aca="true" t="shared" si="6" ref="D30:J30">D31+D32+D33+D34</f>
        <v>18200542.72</v>
      </c>
      <c r="E30" s="754">
        <f t="shared" si="6"/>
        <v>18427909.46</v>
      </c>
      <c r="F30" s="754">
        <f t="shared" si="6"/>
        <v>18432938.4</v>
      </c>
      <c r="G30" s="754">
        <f t="shared" si="6"/>
        <v>21605437.55</v>
      </c>
      <c r="H30" s="1055">
        <f t="shared" si="6"/>
        <v>19621924.8</v>
      </c>
      <c r="I30" s="754">
        <f t="shared" si="6"/>
        <v>22949200.45</v>
      </c>
      <c r="J30" s="754">
        <f t="shared" si="6"/>
        <v>22409482.91</v>
      </c>
      <c r="K30" s="754">
        <f aca="true" t="shared" si="7" ref="K30:Q30">K31+K32+K33+K34</f>
        <v>24497487.54</v>
      </c>
      <c r="L30" s="754">
        <f t="shared" si="7"/>
        <v>19858233.97</v>
      </c>
      <c r="M30" s="754">
        <f t="shared" si="7"/>
        <v>21283976.2</v>
      </c>
      <c r="N30" s="754">
        <f t="shared" si="7"/>
        <v>22093296</v>
      </c>
      <c r="O30" s="754">
        <f t="shared" si="7"/>
        <v>22077288.43</v>
      </c>
      <c r="P30" s="754">
        <f t="shared" si="7"/>
        <v>251457718.43</v>
      </c>
      <c r="Q30" s="754">
        <f t="shared" si="7"/>
        <v>291373026</v>
      </c>
      <c r="R30" s="735"/>
      <c r="S30" s="907"/>
      <c r="T30" s="1259"/>
      <c r="U30" s="1260"/>
      <c r="V30" s="1274"/>
      <c r="W30" s="1274"/>
      <c r="X30" s="1274"/>
      <c r="Y30" s="1274"/>
      <c r="Z30" s="1274"/>
      <c r="AA30" s="1274"/>
      <c r="AB30" s="1274"/>
      <c r="AC30" s="1274"/>
      <c r="AD30" s="1274"/>
      <c r="AE30" s="1274"/>
      <c r="AF30" s="1274"/>
      <c r="AG30" s="1274"/>
      <c r="AH30" s="1274"/>
      <c r="AI30" s="1274"/>
      <c r="AJ30" s="1274"/>
      <c r="AK30" s="1274"/>
      <c r="AL30" s="1274"/>
      <c r="AM30" s="1274"/>
      <c r="AN30" s="1274"/>
      <c r="AO30" s="1274"/>
      <c r="AP30" s="1274"/>
      <c r="AQ30" s="1274"/>
      <c r="AR30" s="1274"/>
      <c r="AS30" s="1274"/>
      <c r="AT30" s="1274"/>
      <c r="AU30" s="1274"/>
      <c r="AV30" s="1274"/>
      <c r="AW30" s="1274"/>
      <c r="AX30" s="1274"/>
      <c r="AY30" s="1274"/>
      <c r="AZ30" s="1274"/>
      <c r="BA30" s="1274"/>
      <c r="BB30" s="1274"/>
      <c r="BC30" s="1274"/>
      <c r="BD30" s="1274"/>
      <c r="BE30" s="1274"/>
      <c r="BF30" s="1274"/>
      <c r="BG30" s="1274"/>
      <c r="BH30" s="1274"/>
      <c r="BI30" s="1274"/>
      <c r="BJ30" s="1274"/>
      <c r="BK30" s="1274"/>
      <c r="BL30" s="1274"/>
      <c r="BM30" s="1274"/>
      <c r="BN30" s="1274"/>
      <c r="BO30" s="1274"/>
      <c r="BP30" s="1274"/>
      <c r="BQ30" s="1274"/>
      <c r="BR30" s="1274"/>
      <c r="BS30" s="1274"/>
      <c r="BT30" s="1274"/>
      <c r="BU30" s="1274"/>
      <c r="BV30" s="1274"/>
      <c r="BW30" s="1274"/>
      <c r="BX30" s="1274"/>
      <c r="BY30" s="1274"/>
      <c r="BZ30" s="1274"/>
      <c r="CA30" s="1274"/>
      <c r="CB30" s="1274"/>
      <c r="CC30" s="1274"/>
      <c r="CD30" s="1274"/>
      <c r="CE30" s="1274"/>
      <c r="CF30" s="1274"/>
      <c r="CG30" s="1274"/>
      <c r="CH30" s="1274"/>
      <c r="CI30" s="1274"/>
      <c r="CJ30" s="1274"/>
      <c r="CK30" s="1274"/>
      <c r="CL30" s="1274"/>
      <c r="CM30" s="1274"/>
      <c r="CN30" s="1274"/>
      <c r="CO30" s="1274"/>
      <c r="CP30" s="1274"/>
      <c r="CQ30" s="1274"/>
      <c r="CR30" s="1274"/>
      <c r="CS30" s="1274"/>
      <c r="CT30" s="1274"/>
      <c r="CU30" s="1274"/>
      <c r="CV30" s="1274"/>
      <c r="CW30" s="1274"/>
      <c r="CX30" s="1274"/>
      <c r="CY30" s="1274"/>
      <c r="CZ30" s="1274"/>
      <c r="DA30" s="1274"/>
      <c r="DB30" s="1274"/>
      <c r="DC30" s="1274"/>
      <c r="DD30" s="1274"/>
      <c r="DE30" s="1274"/>
      <c r="DF30" s="1274"/>
      <c r="DG30" s="1274"/>
      <c r="DH30" s="1274"/>
      <c r="DI30" s="1274"/>
      <c r="DJ30" s="1274"/>
      <c r="DK30" s="1274"/>
      <c r="DL30" s="1274"/>
      <c r="DM30" s="1274"/>
      <c r="DN30" s="1274"/>
      <c r="DO30" s="1274"/>
      <c r="DP30" s="1274"/>
      <c r="DQ30" s="1274"/>
      <c r="DR30" s="1274"/>
      <c r="DS30" s="1274"/>
      <c r="DT30" s="1274"/>
      <c r="DU30" s="1274"/>
      <c r="DV30" s="1274"/>
      <c r="DW30" s="1274"/>
      <c r="DX30" s="1274"/>
      <c r="DY30" s="1274"/>
      <c r="DZ30" s="1274"/>
      <c r="EA30" s="1274"/>
      <c r="EB30" s="1274"/>
      <c r="EC30" s="1274"/>
      <c r="ED30" s="1274"/>
      <c r="EE30" s="1274"/>
      <c r="EF30" s="1274"/>
      <c r="EG30" s="1274"/>
      <c r="EH30" s="1274"/>
      <c r="EI30" s="1274"/>
      <c r="EJ30" s="1274"/>
      <c r="EK30" s="1274"/>
      <c r="EL30" s="1274"/>
      <c r="EM30" s="1274"/>
      <c r="EN30" s="1274"/>
      <c r="EO30" s="1274"/>
      <c r="EP30" s="1274"/>
      <c r="EQ30" s="1274"/>
      <c r="ER30" s="1274"/>
      <c r="ES30" s="1274"/>
      <c r="ET30" s="1274"/>
      <c r="EU30" s="1274"/>
      <c r="EV30" s="1274"/>
      <c r="EW30" s="1274"/>
      <c r="EX30" s="1274"/>
      <c r="EY30" s="1274"/>
      <c r="EZ30" s="1274"/>
      <c r="FA30" s="1274"/>
      <c r="FB30" s="1274"/>
      <c r="FC30" s="1274"/>
      <c r="FD30" s="1274"/>
      <c r="FE30" s="1274"/>
      <c r="FF30" s="1274"/>
      <c r="FG30" s="1274"/>
      <c r="FH30" s="1274"/>
      <c r="FI30" s="1274"/>
      <c r="FJ30" s="1274"/>
      <c r="FK30" s="1274"/>
      <c r="FL30" s="1274"/>
      <c r="FM30" s="1274"/>
      <c r="FN30" s="1274"/>
      <c r="FO30" s="1274"/>
      <c r="FP30" s="1274"/>
      <c r="FQ30" s="1274"/>
      <c r="FR30" s="1274"/>
      <c r="FS30" s="1274"/>
      <c r="FT30" s="1274"/>
      <c r="FU30" s="1274"/>
      <c r="FV30" s="1274"/>
      <c r="FW30" s="1274"/>
      <c r="FX30" s="1274"/>
    </row>
    <row r="31" spans="1:21" s="1261" customFormat="1" ht="15" customHeight="1">
      <c r="A31" s="1266" t="s">
        <v>207</v>
      </c>
      <c r="B31" s="755">
        <v>2683864.55</v>
      </c>
      <c r="C31" s="755">
        <v>2631769.92</v>
      </c>
      <c r="D31" s="954">
        <v>5553876.27</v>
      </c>
      <c r="E31" s="747">
        <v>3942097.95</v>
      </c>
      <c r="F31" s="954">
        <v>4997304.74</v>
      </c>
      <c r="G31" s="747">
        <v>8306188.71</v>
      </c>
      <c r="H31" s="954">
        <v>4786759.91</v>
      </c>
      <c r="I31" s="747">
        <v>7122430.09</v>
      </c>
      <c r="J31" s="747">
        <v>6353380.77</v>
      </c>
      <c r="K31" s="747">
        <v>4988488.63</v>
      </c>
      <c r="L31" s="954">
        <v>5044296.72</v>
      </c>
      <c r="M31" s="747">
        <v>6263493.42</v>
      </c>
      <c r="N31" s="747">
        <v>5800723.66</v>
      </c>
      <c r="O31" s="747">
        <v>6089149.88</v>
      </c>
      <c r="P31" s="747">
        <f>SUM(D31:O31)</f>
        <v>69248190.75</v>
      </c>
      <c r="Q31" s="728">
        <v>69489317</v>
      </c>
      <c r="R31" s="1259"/>
      <c r="S31" s="1259"/>
      <c r="T31" s="1259"/>
      <c r="U31" s="1260"/>
    </row>
    <row r="32" spans="1:21" s="1261" customFormat="1" ht="15" customHeight="1">
      <c r="A32" s="1266" t="s">
        <v>208</v>
      </c>
      <c r="B32" s="745">
        <v>14996.57</v>
      </c>
      <c r="C32" s="745">
        <v>14996.57</v>
      </c>
      <c r="D32" s="954"/>
      <c r="E32" s="747"/>
      <c r="F32" s="954"/>
      <c r="G32" s="747"/>
      <c r="H32" s="954"/>
      <c r="I32" s="747"/>
      <c r="J32" s="747"/>
      <c r="K32" s="747"/>
      <c r="L32" s="954">
        <v>0</v>
      </c>
      <c r="M32" s="747">
        <v>0</v>
      </c>
      <c r="N32" s="747"/>
      <c r="O32" s="747"/>
      <c r="P32" s="747">
        <f>SUM(D32:O32)</f>
        <v>0</v>
      </c>
      <c r="Q32" s="728">
        <v>0</v>
      </c>
      <c r="R32" s="1259"/>
      <c r="S32" s="1259"/>
      <c r="T32" s="1259"/>
      <c r="U32" s="1260"/>
    </row>
    <row r="33" spans="1:21" s="1261" customFormat="1" ht="15" customHeight="1">
      <c r="A33" s="1266" t="s">
        <v>209</v>
      </c>
      <c r="B33" s="745">
        <v>9450679.17</v>
      </c>
      <c r="C33" s="745">
        <v>9161564.39</v>
      </c>
      <c r="D33" s="954">
        <v>12646666.45</v>
      </c>
      <c r="E33" s="747">
        <v>14485811.51</v>
      </c>
      <c r="F33" s="954">
        <v>13435633.66</v>
      </c>
      <c r="G33" s="747">
        <v>13299248.84</v>
      </c>
      <c r="H33" s="954">
        <v>14835164.89</v>
      </c>
      <c r="I33" s="747">
        <v>15826770.36</v>
      </c>
      <c r="J33" s="747">
        <v>16056102.14</v>
      </c>
      <c r="K33" s="747">
        <v>19508998.91</v>
      </c>
      <c r="L33" s="954">
        <v>14813937.25</v>
      </c>
      <c r="M33" s="747">
        <v>15020482.78</v>
      </c>
      <c r="N33" s="747">
        <v>16292572.34</v>
      </c>
      <c r="O33" s="747">
        <v>15988138.55</v>
      </c>
      <c r="P33" s="747">
        <f>SUM(D33:O33)</f>
        <v>182209527.68</v>
      </c>
      <c r="Q33" s="751">
        <v>221883709</v>
      </c>
      <c r="R33" s="1259"/>
      <c r="S33" s="1259"/>
      <c r="T33" s="1259"/>
      <c r="U33" s="1260"/>
    </row>
    <row r="34" spans="1:21" s="1261" customFormat="1" ht="15" customHeight="1">
      <c r="A34" s="1266" t="s">
        <v>799</v>
      </c>
      <c r="B34" s="745"/>
      <c r="C34" s="745"/>
      <c r="D34" s="954"/>
      <c r="E34" s="747"/>
      <c r="F34" s="954"/>
      <c r="G34" s="747"/>
      <c r="H34" s="955"/>
      <c r="I34" s="747"/>
      <c r="J34" s="747">
        <v>0</v>
      </c>
      <c r="K34" s="747">
        <v>0</v>
      </c>
      <c r="L34" s="954"/>
      <c r="M34" s="747"/>
      <c r="N34" s="747"/>
      <c r="O34" s="1002"/>
      <c r="P34" s="747">
        <f>SUM(D34:O34)</f>
        <v>0</v>
      </c>
      <c r="Q34" s="756">
        <v>0</v>
      </c>
      <c r="R34" s="1259"/>
      <c r="S34" s="1259"/>
      <c r="T34" s="1259"/>
      <c r="U34" s="1260"/>
    </row>
    <row r="35" spans="1:21" s="120" customFormat="1" ht="15" customHeight="1">
      <c r="A35" s="731" t="s">
        <v>210</v>
      </c>
      <c r="B35" s="679">
        <f>B10-B30</f>
        <v>115724153.72</v>
      </c>
      <c r="C35" s="679">
        <f>C10-C30</f>
        <v>118192070.28999999</v>
      </c>
      <c r="D35" s="1020">
        <f>D10-D30</f>
        <v>160814461.2</v>
      </c>
      <c r="E35" s="679">
        <f>E10-E30</f>
        <v>175629757.04999998</v>
      </c>
      <c r="F35" s="679">
        <f>F10-F30</f>
        <v>160258344.21999997</v>
      </c>
      <c r="G35" s="679">
        <f aca="true" t="shared" si="8" ref="G35:P35">G10-G30</f>
        <v>162077779.18999997</v>
      </c>
      <c r="H35" s="679">
        <f t="shared" si="8"/>
        <v>168715927.85999998</v>
      </c>
      <c r="I35" s="679">
        <f t="shared" si="8"/>
        <v>202392641.37000006</v>
      </c>
      <c r="J35" s="679">
        <f t="shared" si="8"/>
        <v>184900640.97000003</v>
      </c>
      <c r="K35" s="679">
        <f t="shared" si="8"/>
        <v>192953657.25000003</v>
      </c>
      <c r="L35" s="679">
        <f t="shared" si="8"/>
        <v>167457670.68</v>
      </c>
      <c r="M35" s="679">
        <f t="shared" si="8"/>
        <v>199611748.68000004</v>
      </c>
      <c r="N35" s="1009">
        <f t="shared" si="8"/>
        <v>189111434.59</v>
      </c>
      <c r="O35" s="679">
        <f t="shared" si="8"/>
        <v>201838771.97000003</v>
      </c>
      <c r="P35" s="757">
        <f t="shared" si="8"/>
        <v>2165762835.03</v>
      </c>
      <c r="Q35" s="904">
        <f>Q10-Q30</f>
        <v>2411147369.13</v>
      </c>
      <c r="R35" s="908"/>
      <c r="S35" s="176"/>
      <c r="T35" s="176"/>
      <c r="U35" s="378"/>
    </row>
    <row r="36" spans="1:21" ht="12.75" customHeight="1">
      <c r="A36" s="180" t="str">
        <f>'[15]Anexo I_BAL ORC'!A96</f>
        <v>FONTE: SECRETARIA MUNICIPAL DA FAZENDA</v>
      </c>
      <c r="B36" s="758"/>
      <c r="C36" s="457"/>
      <c r="E36" s="533"/>
      <c r="G36" s="533"/>
      <c r="I36" s="533"/>
      <c r="J36" s="533"/>
      <c r="K36" s="533"/>
      <c r="L36" s="533"/>
      <c r="M36" s="533"/>
      <c r="N36" s="809"/>
      <c r="O36" s="533"/>
      <c r="Q36" s="176"/>
      <c r="R36" s="681"/>
      <c r="S36" s="176"/>
      <c r="T36" s="681"/>
      <c r="U36" s="120"/>
    </row>
    <row r="37" spans="1:20" s="120" customFormat="1" ht="18" customHeight="1">
      <c r="A37" s="112"/>
      <c r="B37" s="112"/>
      <c r="C37" s="112"/>
      <c r="D37"/>
      <c r="E37" s="533"/>
      <c r="F37"/>
      <c r="G37" s="533"/>
      <c r="H37"/>
      <c r="I37" s="533"/>
      <c r="J37" s="533"/>
      <c r="K37" s="533"/>
      <c r="L37" s="533"/>
      <c r="M37" s="533"/>
      <c r="N37"/>
      <c r="O37" s="533"/>
      <c r="P37" s="529"/>
      <c r="Q37" s="176"/>
      <c r="R37" s="176"/>
      <c r="S37" s="176"/>
      <c r="T37" s="176"/>
    </row>
    <row r="38" spans="1:20" s="120" customFormat="1" ht="15" customHeight="1">
      <c r="A38" s="156" t="str">
        <f>'Anexo 1 _ BAL ORC'!A102</f>
        <v>  São Luís, 30 de Julho de 2015</v>
      </c>
      <c r="B38" s="162"/>
      <c r="C38" s="162"/>
      <c r="D38"/>
      <c r="F38"/>
      <c r="H38"/>
      <c r="I38" s="533"/>
      <c r="J38" s="533"/>
      <c r="K38" s="533"/>
      <c r="L38" s="533"/>
      <c r="M38" s="533"/>
      <c r="N38"/>
      <c r="P38" s="529"/>
      <c r="Q38" s="176"/>
      <c r="R38" s="378"/>
      <c r="S38" s="378"/>
      <c r="T38" s="378"/>
    </row>
    <row r="39" spans="1:17" s="120" customFormat="1" ht="15" customHeight="1">
      <c r="A39" s="181"/>
      <c r="B39" s="182"/>
      <c r="D39"/>
      <c r="F39"/>
      <c r="H39"/>
      <c r="N39"/>
      <c r="P39" s="529"/>
      <c r="Q39" s="176"/>
    </row>
    <row r="40" spans="1:19" s="120" customFormat="1" ht="15" customHeight="1">
      <c r="A40" s="181"/>
      <c r="B40" s="182"/>
      <c r="D40"/>
      <c r="F40"/>
      <c r="H40"/>
      <c r="N40"/>
      <c r="P40" s="529"/>
      <c r="R40" s="533"/>
      <c r="S40" s="533"/>
    </row>
    <row r="41" ht="15" customHeight="1">
      <c r="P41" s="621"/>
    </row>
    <row r="49" spans="5:15" ht="15" customHeight="1">
      <c r="E49" s="681"/>
      <c r="G49" s="681"/>
      <c r="I49" s="681"/>
      <c r="J49" s="681"/>
      <c r="K49" s="681"/>
      <c r="L49" s="681"/>
      <c r="M49" s="681"/>
      <c r="O49" s="681"/>
    </row>
    <row r="50" spans="5:15" ht="15" customHeight="1">
      <c r="E50" s="176"/>
      <c r="G50" s="176"/>
      <c r="I50" s="176"/>
      <c r="J50" s="176"/>
      <c r="K50" s="176"/>
      <c r="L50" s="176"/>
      <c r="M50" s="176"/>
      <c r="O50" s="176"/>
    </row>
    <row r="51" spans="5:15" ht="15" customHeight="1">
      <c r="E51" s="176"/>
      <c r="G51" s="176"/>
      <c r="I51" s="176"/>
      <c r="J51" s="176"/>
      <c r="K51" s="176"/>
      <c r="L51" s="176"/>
      <c r="M51" s="176"/>
      <c r="O51" s="176"/>
    </row>
    <row r="52" spans="5:15" ht="15" customHeight="1">
      <c r="E52" s="176"/>
      <c r="G52" s="176"/>
      <c r="I52" s="176"/>
      <c r="J52" s="176"/>
      <c r="K52" s="176"/>
      <c r="L52" s="176"/>
      <c r="M52" s="176"/>
      <c r="O52" s="176"/>
    </row>
    <row r="53" spans="5:15" ht="15" customHeight="1">
      <c r="E53" s="176"/>
      <c r="G53" s="176"/>
      <c r="I53" s="176"/>
      <c r="J53" s="176"/>
      <c r="K53" s="176"/>
      <c r="L53" s="176"/>
      <c r="M53" s="176"/>
      <c r="O53" s="176"/>
    </row>
    <row r="77" spans="1:3" ht="15" customHeight="1">
      <c r="A77" s="181"/>
      <c r="B77" s="182"/>
      <c r="C77" s="120"/>
    </row>
    <row r="78" spans="1:3" ht="15" customHeight="1">
      <c r="A78" s="181"/>
      <c r="B78" s="182"/>
      <c r="C78" s="120"/>
    </row>
    <row r="79" spans="1:3" ht="15" customHeight="1">
      <c r="A79" s="181"/>
      <c r="B79" s="182"/>
      <c r="C79" s="120"/>
    </row>
    <row r="80" spans="1:3" ht="15" customHeight="1">
      <c r="A80" s="181"/>
      <c r="B80" s="182"/>
      <c r="C80" s="120"/>
    </row>
    <row r="81" spans="1:3" ht="15" customHeight="1">
      <c r="A81" s="181"/>
      <c r="B81" s="182"/>
      <c r="C81" s="120"/>
    </row>
  </sheetData>
  <sheetProtection/>
  <mergeCells count="20">
    <mergeCell ref="E8:E9"/>
    <mergeCell ref="H8:H9"/>
    <mergeCell ref="D8:D9"/>
    <mergeCell ref="F8:F9"/>
    <mergeCell ref="P8:P9"/>
    <mergeCell ref="Q8:Q9"/>
    <mergeCell ref="M8:M9"/>
    <mergeCell ref="L8:L9"/>
    <mergeCell ref="J8:J9"/>
    <mergeCell ref="K8:K9"/>
    <mergeCell ref="N8:N9"/>
    <mergeCell ref="O8:O9"/>
    <mergeCell ref="B8:C8"/>
    <mergeCell ref="G8:G9"/>
    <mergeCell ref="I8:I9"/>
    <mergeCell ref="A1:Q1"/>
    <mergeCell ref="A2:Q2"/>
    <mergeCell ref="A3:Q3"/>
    <mergeCell ref="A4:Q4"/>
    <mergeCell ref="A8:A9"/>
  </mergeCells>
  <printOptions horizontalCentered="1"/>
  <pageMargins left="0.2362204724409449" right="0.15748031496062992" top="0.5118110236220472" bottom="0.3937007874015748" header="0.5118110236220472" footer="0.1968503937007874"/>
  <pageSetup fitToHeight="1" fitToWidth="1" horizontalDpi="600" verticalDpi="600" orientation="landscape" paperSize="9" scale="61" r:id="rId2"/>
  <headerFooter alignWithMargins="0">
    <oddFooter>&amp;C&amp;A</oddFooter>
  </headerFooter>
  <ignoredErrors>
    <ignoredError sqref="P12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O178"/>
  <sheetViews>
    <sheetView showGridLines="0" zoomScaleSheetLayoutView="100" zoomScalePageLayoutView="0" workbookViewId="0" topLeftCell="A93">
      <selection activeCell="D61" sqref="D61:E61"/>
    </sheetView>
  </sheetViews>
  <sheetFormatPr defaultColWidth="4.140625" defaultRowHeight="12.75"/>
  <cols>
    <col min="1" max="1" width="45.140625" style="122" customWidth="1"/>
    <col min="2" max="2" width="16.140625" style="182" customWidth="1"/>
    <col min="3" max="3" width="14.421875" style="182" customWidth="1"/>
    <col min="4" max="4" width="8.140625" style="182" customWidth="1"/>
    <col min="5" max="5" width="5.00390625" style="182" customWidth="1"/>
    <col min="6" max="6" width="13.421875" style="182" customWidth="1"/>
    <col min="7" max="7" width="12.7109375" style="182" customWidth="1"/>
    <col min="8" max="8" width="12.421875" style="182" customWidth="1"/>
    <col min="9" max="9" width="14.28125" style="182" customWidth="1"/>
    <col min="10" max="10" width="13.28125" style="182" customWidth="1"/>
    <col min="11" max="11" width="4.140625" style="121" customWidth="1"/>
    <col min="12" max="12" width="16.28125" style="121" customWidth="1"/>
    <col min="13" max="16384" width="4.140625" style="121" customWidth="1"/>
  </cols>
  <sheetData>
    <row r="1" spans="1:10" ht="12" customHeight="1">
      <c r="A1" s="1586" t="s">
        <v>182</v>
      </c>
      <c r="B1" s="1586"/>
      <c r="C1" s="1586"/>
      <c r="D1" s="1586"/>
      <c r="E1" s="1586"/>
      <c r="F1" s="1586"/>
      <c r="G1" s="1586"/>
      <c r="H1" s="1586"/>
      <c r="I1" s="1586"/>
      <c r="J1" s="1586"/>
    </row>
    <row r="2" spans="1:10" ht="12" customHeight="1">
      <c r="A2" s="1586" t="s">
        <v>0</v>
      </c>
      <c r="B2" s="1586"/>
      <c r="C2" s="1586"/>
      <c r="D2" s="1586"/>
      <c r="E2" s="1586"/>
      <c r="F2" s="1586"/>
      <c r="G2" s="1586"/>
      <c r="H2" s="1586"/>
      <c r="I2" s="1586"/>
      <c r="J2" s="1586"/>
    </row>
    <row r="3" spans="1:10" ht="12" customHeight="1">
      <c r="A3" s="1587" t="s">
        <v>211</v>
      </c>
      <c r="B3" s="1587"/>
      <c r="C3" s="1587"/>
      <c r="D3" s="1587"/>
      <c r="E3" s="1587"/>
      <c r="F3" s="1587"/>
      <c r="G3" s="1587"/>
      <c r="H3" s="1587"/>
      <c r="I3" s="1587"/>
      <c r="J3" s="1587"/>
    </row>
    <row r="4" spans="1:10" ht="12" customHeight="1">
      <c r="A4" s="1586" t="s">
        <v>212</v>
      </c>
      <c r="B4" s="1586"/>
      <c r="C4" s="1586"/>
      <c r="D4" s="1586"/>
      <c r="E4" s="1586"/>
      <c r="F4" s="1586"/>
      <c r="G4" s="1586"/>
      <c r="H4" s="1586"/>
      <c r="I4" s="1586"/>
      <c r="J4" s="1586"/>
    </row>
    <row r="5" spans="1:11" s="1" customFormat="1" ht="15.75" customHeight="1">
      <c r="A5" s="1581" t="str">
        <f>'Anexo 3 _ RCL'!A5</f>
        <v>Referência: JANEIRO-JUNHO/2015; BIMESTRE: MAIO-JUNHO/2015</v>
      </c>
      <c r="B5" s="1581"/>
      <c r="C5" s="1581"/>
      <c r="D5" s="1581"/>
      <c r="E5" s="595"/>
      <c r="F5" s="595"/>
      <c r="G5" s="734" t="s">
        <v>950</v>
      </c>
      <c r="H5" s="734"/>
      <c r="I5" s="605"/>
      <c r="J5" s="595"/>
      <c r="K5" s="595"/>
    </row>
    <row r="6" spans="1:9" ht="12.75" customHeight="1">
      <c r="A6" s="184"/>
      <c r="B6" s="185"/>
      <c r="C6" s="185"/>
      <c r="D6" s="185"/>
      <c r="E6" s="185"/>
      <c r="F6" s="185"/>
      <c r="G6" s="733" t="s">
        <v>953</v>
      </c>
      <c r="H6" s="733"/>
      <c r="I6" s="185"/>
    </row>
    <row r="7" spans="1:10" ht="12.75" customHeight="1">
      <c r="A7" s="122" t="s">
        <v>650</v>
      </c>
      <c r="C7" s="1003"/>
      <c r="D7" s="186"/>
      <c r="E7" s="1605"/>
      <c r="F7" s="1605"/>
      <c r="G7" s="1606"/>
      <c r="H7" s="1121"/>
      <c r="I7" s="1607" t="s">
        <v>538</v>
      </c>
      <c r="J7" s="1607"/>
    </row>
    <row r="8" spans="1:10" ht="21.75" customHeight="1">
      <c r="A8" s="1563" t="s">
        <v>213</v>
      </c>
      <c r="B8" s="1564" t="s">
        <v>214</v>
      </c>
      <c r="C8" s="1564" t="s">
        <v>215</v>
      </c>
      <c r="D8" s="1504" t="s">
        <v>216</v>
      </c>
      <c r="E8" s="1504"/>
      <c r="F8" s="1504"/>
      <c r="G8" s="1504"/>
      <c r="H8" s="1504"/>
      <c r="I8" s="1504"/>
      <c r="J8" s="1604"/>
    </row>
    <row r="9" spans="1:10" ht="21.75" customHeight="1">
      <c r="A9" s="1563"/>
      <c r="B9" s="1564"/>
      <c r="C9" s="1564"/>
      <c r="D9" s="1564" t="s">
        <v>103</v>
      </c>
      <c r="E9" s="1564"/>
      <c r="F9" s="1564"/>
      <c r="G9" s="1564"/>
      <c r="H9" s="1504" t="s">
        <v>822</v>
      </c>
      <c r="I9" s="1505"/>
      <c r="J9" s="1506"/>
    </row>
    <row r="10" spans="1:10" s="201" customFormat="1" ht="21.75" customHeight="1">
      <c r="A10" s="694" t="s">
        <v>217</v>
      </c>
      <c r="B10" s="695">
        <f>B11+B31</f>
        <v>95689190</v>
      </c>
      <c r="C10" s="695">
        <f>C11+C31</f>
        <v>95689190</v>
      </c>
      <c r="D10" s="1591">
        <f>D11+D31</f>
        <v>48836602.29</v>
      </c>
      <c r="E10" s="1591"/>
      <c r="F10" s="1591"/>
      <c r="G10" s="1591"/>
      <c r="H10" s="1516">
        <f>H11+H31</f>
        <v>43814983.809999995</v>
      </c>
      <c r="I10" s="1517"/>
      <c r="J10" s="1518"/>
    </row>
    <row r="11" spans="1:10" s="201" customFormat="1" ht="13.5" customHeight="1">
      <c r="A11" s="696" t="s">
        <v>16</v>
      </c>
      <c r="B11" s="692">
        <f>B12+B23+B28</f>
        <v>95689190</v>
      </c>
      <c r="C11" s="692">
        <f>C12+C23+C28</f>
        <v>95689190</v>
      </c>
      <c r="D11" s="1591">
        <f>D12+D23+D28</f>
        <v>48836602.29</v>
      </c>
      <c r="E11" s="1591"/>
      <c r="F11" s="1591"/>
      <c r="G11" s="1591"/>
      <c r="H11" s="1516">
        <f>H12+H22+H23+H28</f>
        <v>43814983.809999995</v>
      </c>
      <c r="I11" s="1517"/>
      <c r="J11" s="1518"/>
    </row>
    <row r="12" spans="1:12" s="201" customFormat="1" ht="13.5" customHeight="1">
      <c r="A12" s="697" t="s">
        <v>194</v>
      </c>
      <c r="B12" s="679">
        <f>B13</f>
        <v>69590714</v>
      </c>
      <c r="C12" s="679">
        <f>C13</f>
        <v>69590714</v>
      </c>
      <c r="D12" s="1514">
        <f>D13</f>
        <v>34695798.88</v>
      </c>
      <c r="E12" s="1514"/>
      <c r="F12" s="1514"/>
      <c r="G12" s="1514"/>
      <c r="H12" s="1540">
        <f>H13+H22</f>
        <v>30693545.839999996</v>
      </c>
      <c r="I12" s="1541"/>
      <c r="J12" s="1542"/>
      <c r="L12" s="1382"/>
    </row>
    <row r="13" spans="1:10" s="201" customFormat="1" ht="13.5" customHeight="1">
      <c r="A13" s="698" t="s">
        <v>218</v>
      </c>
      <c r="B13" s="679">
        <f>B14+B15+B16+B17</f>
        <v>69590714</v>
      </c>
      <c r="C13" s="679">
        <f>C14+C15+C16+C17</f>
        <v>69590714</v>
      </c>
      <c r="D13" s="1514">
        <f>D14+D15+D16+D17</f>
        <v>34695798.88</v>
      </c>
      <c r="E13" s="1514"/>
      <c r="F13" s="1514"/>
      <c r="G13" s="1514"/>
      <c r="H13" s="1540">
        <f>H14+H15+H16+H17</f>
        <v>30693545.839999996</v>
      </c>
      <c r="I13" s="1541"/>
      <c r="J13" s="1542"/>
    </row>
    <row r="14" spans="1:10" ht="6.75" customHeight="1">
      <c r="A14" s="191"/>
      <c r="B14" s="678"/>
      <c r="C14" s="677"/>
      <c r="D14" s="1602"/>
      <c r="E14" s="1602"/>
      <c r="F14" s="676"/>
      <c r="G14" s="676"/>
      <c r="H14" s="676"/>
      <c r="I14" s="1588"/>
      <c r="J14" s="1603"/>
    </row>
    <row r="15" spans="1:10" ht="13.5" customHeight="1">
      <c r="A15" s="191" t="s">
        <v>219</v>
      </c>
      <c r="B15" s="677">
        <v>67073517</v>
      </c>
      <c r="C15" s="677">
        <f>B15</f>
        <v>67073517</v>
      </c>
      <c r="D15" s="1598">
        <v>33493837.82</v>
      </c>
      <c r="E15" s="1598"/>
      <c r="F15" s="1598"/>
      <c r="G15" s="1598"/>
      <c r="H15" s="1599">
        <v>29811190.74</v>
      </c>
      <c r="I15" s="1600"/>
      <c r="J15" s="1601"/>
    </row>
    <row r="16" spans="1:12" ht="13.5" customHeight="1">
      <c r="A16" s="191" t="s">
        <v>220</v>
      </c>
      <c r="B16" s="677">
        <v>1656486</v>
      </c>
      <c r="C16" s="677">
        <f>B16</f>
        <v>1656486</v>
      </c>
      <c r="D16" s="1598">
        <v>953646.04</v>
      </c>
      <c r="E16" s="1598"/>
      <c r="F16" s="1598"/>
      <c r="G16" s="1598"/>
      <c r="H16" s="1599">
        <v>686888.49</v>
      </c>
      <c r="I16" s="1600"/>
      <c r="J16" s="1601"/>
      <c r="L16" s="580"/>
    </row>
    <row r="17" spans="1:10" ht="13.5" customHeight="1">
      <c r="A17" s="191" t="s">
        <v>221</v>
      </c>
      <c r="B17" s="677">
        <v>860711</v>
      </c>
      <c r="C17" s="677">
        <f>B17</f>
        <v>860711</v>
      </c>
      <c r="D17" s="1598">
        <v>248315.02</v>
      </c>
      <c r="E17" s="1598"/>
      <c r="F17" s="1598"/>
      <c r="G17" s="1598"/>
      <c r="H17" s="1599">
        <v>195466.61</v>
      </c>
      <c r="I17" s="1600"/>
      <c r="J17" s="1601"/>
    </row>
    <row r="18" spans="1:10" s="201" customFormat="1" ht="13.5" customHeight="1">
      <c r="A18" s="698" t="s">
        <v>222</v>
      </c>
      <c r="B18" s="679">
        <f>B19+B20+B21</f>
        <v>0</v>
      </c>
      <c r="C18" s="679">
        <f>C19+C20+C21</f>
        <v>0</v>
      </c>
      <c r="D18" s="1514">
        <f>D19+D20+D21</f>
        <v>0</v>
      </c>
      <c r="E18" s="1514"/>
      <c r="F18" s="1514"/>
      <c r="G18" s="1514"/>
      <c r="H18" s="1516"/>
      <c r="I18" s="1517"/>
      <c r="J18" s="1518"/>
    </row>
    <row r="19" spans="1:10" ht="13.5" customHeight="1">
      <c r="A19" s="191" t="s">
        <v>223</v>
      </c>
      <c r="B19" s="677"/>
      <c r="C19" s="677"/>
      <c r="D19" s="1598"/>
      <c r="E19" s="1598"/>
      <c r="F19" s="1598"/>
      <c r="G19" s="1598"/>
      <c r="H19" s="1508">
        <v>0</v>
      </c>
      <c r="I19" s="1509"/>
      <c r="J19" s="1510"/>
    </row>
    <row r="20" spans="1:10" ht="13.5" customHeight="1">
      <c r="A20" s="191" t="s">
        <v>224</v>
      </c>
      <c r="B20" s="677"/>
      <c r="C20" s="677"/>
      <c r="D20" s="1598"/>
      <c r="E20" s="1598"/>
      <c r="F20" s="1598"/>
      <c r="G20" s="1598"/>
      <c r="H20" s="1508">
        <v>0</v>
      </c>
      <c r="I20" s="1509"/>
      <c r="J20" s="1510"/>
    </row>
    <row r="21" spans="1:10" ht="13.5" customHeight="1">
      <c r="A21" s="191" t="s">
        <v>225</v>
      </c>
      <c r="B21" s="677"/>
      <c r="C21" s="677"/>
      <c r="D21" s="1598"/>
      <c r="E21" s="1598"/>
      <c r="F21" s="1598"/>
      <c r="G21" s="1598"/>
      <c r="H21" s="1508">
        <v>0</v>
      </c>
      <c r="I21" s="1509"/>
      <c r="J21" s="1510"/>
    </row>
    <row r="22" spans="1:10" ht="13.5" customHeight="1">
      <c r="A22" s="189" t="s">
        <v>226</v>
      </c>
      <c r="B22" s="677"/>
      <c r="C22" s="677"/>
      <c r="D22" s="1551"/>
      <c r="E22" s="1551"/>
      <c r="F22" s="1551"/>
      <c r="G22" s="1551"/>
      <c r="H22" s="1508"/>
      <c r="I22" s="1509"/>
      <c r="J22" s="1510"/>
    </row>
    <row r="23" spans="1:10" s="201" customFormat="1" ht="13.5" customHeight="1">
      <c r="A23" s="697" t="s">
        <v>195</v>
      </c>
      <c r="B23" s="679">
        <f>B24+B25+B26</f>
        <v>21700044</v>
      </c>
      <c r="C23" s="679">
        <f>C24+C25+C26</f>
        <v>21700044</v>
      </c>
      <c r="D23" s="1591">
        <f>D24+D25+D26</f>
        <v>10112341.04</v>
      </c>
      <c r="E23" s="1591"/>
      <c r="F23" s="1591"/>
      <c r="G23" s="1591"/>
      <c r="H23" s="1516">
        <f>H24+H25+H26</f>
        <v>11057253.82</v>
      </c>
      <c r="I23" s="1517"/>
      <c r="J23" s="1518"/>
    </row>
    <row r="24" spans="1:10" ht="13.5" customHeight="1">
      <c r="A24" s="190" t="s">
        <v>25</v>
      </c>
      <c r="B24" s="677"/>
      <c r="C24" s="677"/>
      <c r="D24" s="1551">
        <v>0</v>
      </c>
      <c r="E24" s="1551"/>
      <c r="F24" s="1551"/>
      <c r="G24" s="1551"/>
      <c r="H24" s="1508">
        <v>0</v>
      </c>
      <c r="I24" s="1509"/>
      <c r="J24" s="1510"/>
    </row>
    <row r="25" spans="1:10" ht="13.5" customHeight="1">
      <c r="A25" s="190" t="s">
        <v>26</v>
      </c>
      <c r="B25" s="677">
        <v>21700044</v>
      </c>
      <c r="C25" s="677">
        <f>B25</f>
        <v>21700044</v>
      </c>
      <c r="D25" s="1598">
        <v>10017373.67</v>
      </c>
      <c r="E25" s="1598"/>
      <c r="F25" s="1598"/>
      <c r="G25" s="1598"/>
      <c r="H25" s="1508">
        <v>10997186.83</v>
      </c>
      <c r="I25" s="1509"/>
      <c r="J25" s="1510"/>
    </row>
    <row r="26" spans="1:10" ht="13.5" customHeight="1">
      <c r="A26" s="190" t="s">
        <v>29</v>
      </c>
      <c r="B26" s="677"/>
      <c r="C26" s="677"/>
      <c r="D26" s="1598">
        <v>94967.37</v>
      </c>
      <c r="E26" s="1598"/>
      <c r="F26" s="1598"/>
      <c r="G26" s="1598"/>
      <c r="H26" s="1508">
        <v>60066.99</v>
      </c>
      <c r="I26" s="1509"/>
      <c r="J26" s="1510"/>
    </row>
    <row r="27" spans="1:10" ht="13.5" customHeight="1">
      <c r="A27" s="697" t="s">
        <v>31</v>
      </c>
      <c r="B27" s="677"/>
      <c r="C27" s="677"/>
      <c r="D27" s="1551"/>
      <c r="E27" s="1551"/>
      <c r="F27" s="1551"/>
      <c r="G27" s="1551"/>
      <c r="H27" s="1508">
        <v>0</v>
      </c>
      <c r="I27" s="1509"/>
      <c r="J27" s="1510"/>
    </row>
    <row r="28" spans="1:10" s="201" customFormat="1" ht="13.5" customHeight="1">
      <c r="A28" s="697" t="s">
        <v>205</v>
      </c>
      <c r="B28" s="679">
        <f>B29+B30</f>
        <v>4398432</v>
      </c>
      <c r="C28" s="679">
        <f>C29+C30</f>
        <v>4398432</v>
      </c>
      <c r="D28" s="1591">
        <f>D29+D30</f>
        <v>4028462.37</v>
      </c>
      <c r="E28" s="1591"/>
      <c r="F28" s="1591"/>
      <c r="G28" s="1591"/>
      <c r="H28" s="1516">
        <f>H29+H30</f>
        <v>2064184.1500000001</v>
      </c>
      <c r="I28" s="1517"/>
      <c r="J28" s="1518"/>
    </row>
    <row r="29" spans="1:10" ht="13.5" customHeight="1">
      <c r="A29" s="190" t="s">
        <v>227</v>
      </c>
      <c r="B29" s="677">
        <v>354096</v>
      </c>
      <c r="C29" s="677">
        <f>B29</f>
        <v>354096</v>
      </c>
      <c r="D29" s="1598">
        <v>376842.06</v>
      </c>
      <c r="E29" s="1598"/>
      <c r="F29" s="1598"/>
      <c r="G29" s="1598"/>
      <c r="H29" s="1508">
        <v>81660.33</v>
      </c>
      <c r="I29" s="1509"/>
      <c r="J29" s="1510"/>
    </row>
    <row r="30" spans="1:10" ht="13.5" customHeight="1">
      <c r="A30" s="189" t="s">
        <v>228</v>
      </c>
      <c r="B30" s="677">
        <v>4044336</v>
      </c>
      <c r="C30" s="677">
        <f>B30</f>
        <v>4044336</v>
      </c>
      <c r="D30" s="1598">
        <v>3651620.31</v>
      </c>
      <c r="E30" s="1598"/>
      <c r="F30" s="1598"/>
      <c r="G30" s="1598"/>
      <c r="H30" s="1508">
        <v>1982523.82</v>
      </c>
      <c r="I30" s="1509"/>
      <c r="J30" s="1510"/>
    </row>
    <row r="31" spans="1:10" s="201" customFormat="1" ht="13.5" customHeight="1">
      <c r="A31" s="691" t="s">
        <v>41</v>
      </c>
      <c r="B31" s="679">
        <f>B32+B34</f>
        <v>0</v>
      </c>
      <c r="C31" s="679">
        <f>C32+C34</f>
        <v>0</v>
      </c>
      <c r="D31" s="1514">
        <f>D32+D34</f>
        <v>0</v>
      </c>
      <c r="E31" s="1514"/>
      <c r="F31" s="1514"/>
      <c r="G31" s="1514"/>
      <c r="H31" s="1516">
        <v>0</v>
      </c>
      <c r="I31" s="1517"/>
      <c r="J31" s="1518"/>
    </row>
    <row r="32" spans="1:10" ht="13.5" customHeight="1">
      <c r="A32" s="189" t="s">
        <v>229</v>
      </c>
      <c r="B32" s="677"/>
      <c r="C32" s="677"/>
      <c r="D32" s="1551"/>
      <c r="E32" s="1551"/>
      <c r="F32" s="1551"/>
      <c r="G32" s="1551"/>
      <c r="H32" s="1508">
        <v>0</v>
      </c>
      <c r="I32" s="1509"/>
      <c r="J32" s="1510"/>
    </row>
    <row r="33" spans="1:10" ht="13.5" customHeight="1">
      <c r="A33" s="189" t="s">
        <v>230</v>
      </c>
      <c r="B33" s="677"/>
      <c r="C33" s="677"/>
      <c r="D33" s="1551"/>
      <c r="E33" s="1551"/>
      <c r="F33" s="1551"/>
      <c r="G33" s="1551"/>
      <c r="H33" s="1508">
        <v>0</v>
      </c>
      <c r="I33" s="1509"/>
      <c r="J33" s="1510"/>
    </row>
    <row r="34" spans="1:10" ht="13.5" customHeight="1">
      <c r="A34" s="189" t="s">
        <v>231</v>
      </c>
      <c r="B34" s="677"/>
      <c r="C34" s="677"/>
      <c r="D34" s="1551"/>
      <c r="E34" s="1551"/>
      <c r="F34" s="1551"/>
      <c r="G34" s="1551"/>
      <c r="H34" s="1508">
        <v>0</v>
      </c>
      <c r="I34" s="1509"/>
      <c r="J34" s="1510"/>
    </row>
    <row r="35" spans="1:10" ht="13.5" customHeight="1">
      <c r="A35" s="194" t="s">
        <v>232</v>
      </c>
      <c r="B35" s="677"/>
      <c r="C35" s="677"/>
      <c r="D35" s="1598"/>
      <c r="E35" s="1598"/>
      <c r="F35" s="1598"/>
      <c r="G35" s="1598"/>
      <c r="H35" s="1508">
        <v>0</v>
      </c>
      <c r="I35" s="1509"/>
      <c r="J35" s="1510"/>
    </row>
    <row r="36" spans="1:10" ht="13.5" customHeight="1">
      <c r="A36" s="187" t="s">
        <v>233</v>
      </c>
      <c r="B36" s="677"/>
      <c r="C36" s="677"/>
      <c r="D36" s="1598"/>
      <c r="E36" s="1598"/>
      <c r="F36" s="1598"/>
      <c r="G36" s="1598"/>
      <c r="H36" s="1508">
        <v>0</v>
      </c>
      <c r="I36" s="1509"/>
      <c r="J36" s="1510"/>
    </row>
    <row r="37" spans="1:10" s="201" customFormat="1" ht="13.5" customHeight="1">
      <c r="A37" s="694" t="s">
        <v>234</v>
      </c>
      <c r="B37" s="679">
        <f>B121</f>
        <v>86178831</v>
      </c>
      <c r="C37" s="679">
        <f>C121</f>
        <v>86178831</v>
      </c>
      <c r="D37" s="1591">
        <f>D121</f>
        <v>40884605</v>
      </c>
      <c r="E37" s="1591"/>
      <c r="F37" s="1591"/>
      <c r="G37" s="1591"/>
      <c r="H37" s="1516">
        <f>H121</f>
        <v>34533838.27</v>
      </c>
      <c r="I37" s="1517"/>
      <c r="J37" s="1518"/>
    </row>
    <row r="38" spans="1:12" ht="15.75" customHeight="1">
      <c r="A38" s="200" t="s">
        <v>235</v>
      </c>
      <c r="B38" s="679">
        <f>B10+B37</f>
        <v>181868021</v>
      </c>
      <c r="C38" s="679">
        <f>C10+C37</f>
        <v>181868021</v>
      </c>
      <c r="D38" s="1514">
        <f>D10+D37</f>
        <v>89721207.28999999</v>
      </c>
      <c r="E38" s="1514"/>
      <c r="F38" s="1514"/>
      <c r="G38" s="1514"/>
      <c r="H38" s="1540">
        <f>H10+H37</f>
        <v>78348822.08</v>
      </c>
      <c r="I38" s="1541"/>
      <c r="J38" s="1542"/>
      <c r="L38" s="622"/>
    </row>
    <row r="39" spans="2:10" ht="8.25" customHeight="1">
      <c r="B39" s="195"/>
      <c r="C39" s="195"/>
      <c r="D39" s="195"/>
      <c r="E39" s="195"/>
      <c r="F39" s="195"/>
      <c r="G39" s="195"/>
      <c r="H39" s="195"/>
      <c r="I39" s="1065"/>
      <c r="J39" s="1065"/>
    </row>
    <row r="40" spans="1:10" ht="12.75" customHeight="1">
      <c r="A40" s="1549" t="s">
        <v>236</v>
      </c>
      <c r="B40" s="1550" t="s">
        <v>237</v>
      </c>
      <c r="C40" s="1550" t="s">
        <v>238</v>
      </c>
      <c r="D40" s="1592" t="s">
        <v>645</v>
      </c>
      <c r="E40" s="1593"/>
      <c r="F40" s="1594"/>
      <c r="G40" s="1593" t="s">
        <v>847</v>
      </c>
      <c r="H40" s="1594"/>
      <c r="I40" s="1593" t="s">
        <v>239</v>
      </c>
      <c r="J40" s="1594"/>
    </row>
    <row r="41" spans="1:10" ht="12.75" customHeight="1">
      <c r="A41" s="1549"/>
      <c r="B41" s="1550"/>
      <c r="C41" s="1550"/>
      <c r="D41" s="1595"/>
      <c r="E41" s="1596"/>
      <c r="F41" s="1597"/>
      <c r="G41" s="1596"/>
      <c r="H41" s="1597"/>
      <c r="I41" s="1596"/>
      <c r="J41" s="1597"/>
    </row>
    <row r="42" spans="1:10" ht="23.25" customHeight="1">
      <c r="A42" s="1549"/>
      <c r="B42" s="1550"/>
      <c r="C42" s="1550"/>
      <c r="D42" s="1590" t="s">
        <v>103</v>
      </c>
      <c r="E42" s="1590"/>
      <c r="F42" s="1123" t="s">
        <v>822</v>
      </c>
      <c r="G42" s="1124" t="s">
        <v>103</v>
      </c>
      <c r="H42" s="1123" t="s">
        <v>822</v>
      </c>
      <c r="I42" s="1125" t="s">
        <v>848</v>
      </c>
      <c r="J42" s="1123" t="s">
        <v>850</v>
      </c>
    </row>
    <row r="43" spans="1:10" s="201" customFormat="1" ht="21.75" customHeight="1">
      <c r="A43" s="694" t="s">
        <v>240</v>
      </c>
      <c r="B43" s="695">
        <f>B44+B47</f>
        <v>192330432</v>
      </c>
      <c r="C43" s="695">
        <f>C44+C47</f>
        <v>192330432</v>
      </c>
      <c r="D43" s="1516">
        <f>D44+D47</f>
        <v>185052840.25</v>
      </c>
      <c r="E43" s="1516"/>
      <c r="F43" s="1120">
        <f>F44+F47</f>
        <v>150512855.74</v>
      </c>
      <c r="G43" s="690">
        <f>G44+G47</f>
        <v>94610289.16</v>
      </c>
      <c r="H43" s="690">
        <f>H44+H47</f>
        <v>73908147.13</v>
      </c>
      <c r="I43" s="690">
        <f>I44+I47</f>
        <v>0</v>
      </c>
      <c r="J43" s="690">
        <f>J44+J47</f>
        <v>0</v>
      </c>
    </row>
    <row r="44" spans="1:12" s="201" customFormat="1" ht="15.75" customHeight="1">
      <c r="A44" s="691" t="s">
        <v>241</v>
      </c>
      <c r="B44" s="679">
        <f>B46+B45</f>
        <v>15636306</v>
      </c>
      <c r="C44" s="679">
        <f>C46+C45</f>
        <v>15636306</v>
      </c>
      <c r="D44" s="1589">
        <f>D45+D46</f>
        <v>13052840.25</v>
      </c>
      <c r="E44" s="1589"/>
      <c r="F44" s="1119">
        <f>F45+F46</f>
        <v>6015687.34</v>
      </c>
      <c r="G44" s="693">
        <f>G45+G46</f>
        <v>4424812.55</v>
      </c>
      <c r="H44" s="1119">
        <f>H45+H46</f>
        <v>3350043.4</v>
      </c>
      <c r="I44" s="693">
        <f>I45+I46</f>
        <v>0</v>
      </c>
      <c r="J44" s="1066">
        <f>J45+J46</f>
        <v>0</v>
      </c>
      <c r="L44" s="2264"/>
    </row>
    <row r="45" spans="1:10" ht="15.75" customHeight="1">
      <c r="A45" s="196" t="s">
        <v>242</v>
      </c>
      <c r="B45" s="677">
        <v>13193968</v>
      </c>
      <c r="C45" s="677">
        <f>B45</f>
        <v>13193968</v>
      </c>
      <c r="D45" s="1588">
        <v>12876680.75</v>
      </c>
      <c r="E45" s="1588"/>
      <c r="F45" s="676">
        <v>6015687.34</v>
      </c>
      <c r="G45" s="680">
        <v>4350794.06</v>
      </c>
      <c r="H45" s="1067">
        <v>3350043.4</v>
      </c>
      <c r="I45" s="1067"/>
      <c r="J45" s="680">
        <v>0</v>
      </c>
    </row>
    <row r="46" spans="1:10" ht="15.75" customHeight="1">
      <c r="A46" s="196" t="s">
        <v>243</v>
      </c>
      <c r="B46" s="677">
        <v>2442338</v>
      </c>
      <c r="C46" s="677">
        <f>B46</f>
        <v>2442338</v>
      </c>
      <c r="D46" s="1588">
        <v>176159.5</v>
      </c>
      <c r="E46" s="1588"/>
      <c r="F46" s="676">
        <v>0</v>
      </c>
      <c r="G46" s="680">
        <v>74018.49</v>
      </c>
      <c r="H46" s="1067">
        <v>0</v>
      </c>
      <c r="I46" s="1067"/>
      <c r="J46" s="680">
        <v>0</v>
      </c>
    </row>
    <row r="47" spans="1:10" s="201" customFormat="1" ht="15.75" customHeight="1">
      <c r="A47" s="701" t="s">
        <v>244</v>
      </c>
      <c r="B47" s="679">
        <f>B48+B52+B56</f>
        <v>176694126</v>
      </c>
      <c r="C47" s="679">
        <f>C48+C52+C56</f>
        <v>176694126</v>
      </c>
      <c r="D47" s="1589">
        <f>D48+D52+D56</f>
        <v>172000000</v>
      </c>
      <c r="E47" s="1589"/>
      <c r="F47" s="1119">
        <f>F48+F52+F56</f>
        <v>144497168.4</v>
      </c>
      <c r="G47" s="693">
        <f>G48+G52+G56</f>
        <v>90185476.61</v>
      </c>
      <c r="H47" s="1119">
        <f>H48+H52+H56</f>
        <v>70558103.72999999</v>
      </c>
      <c r="I47" s="693">
        <f>I48+I52+I56</f>
        <v>0</v>
      </c>
      <c r="J47" s="1066">
        <f>J48+J52+J56</f>
        <v>0</v>
      </c>
    </row>
    <row r="48" spans="1:10" s="201" customFormat="1" ht="15.75" customHeight="1">
      <c r="A48" s="702" t="s">
        <v>218</v>
      </c>
      <c r="B48" s="679">
        <f>B49+B50+B51</f>
        <v>176694126</v>
      </c>
      <c r="C48" s="679">
        <f>C49+C50+C51</f>
        <v>176694126</v>
      </c>
      <c r="D48" s="1589">
        <f>D49+D50+D51</f>
        <v>172000000</v>
      </c>
      <c r="E48" s="1589"/>
      <c r="F48" s="1119">
        <f>F49+F50+F51</f>
        <v>144497168.4</v>
      </c>
      <c r="G48" s="693">
        <f>G49+G50+G51</f>
        <v>90185476.61</v>
      </c>
      <c r="H48" s="1119">
        <f>H49+H50+H51</f>
        <v>70558103.72999999</v>
      </c>
      <c r="I48" s="693">
        <f>I49+I50+I51</f>
        <v>0</v>
      </c>
      <c r="J48" s="1066">
        <f>J49+J50+J51</f>
        <v>0</v>
      </c>
    </row>
    <row r="49" spans="1:10" ht="15.75" customHeight="1">
      <c r="A49" s="199" t="s">
        <v>245</v>
      </c>
      <c r="B49" s="677">
        <v>124956270</v>
      </c>
      <c r="C49" s="677">
        <f>B49</f>
        <v>124956270</v>
      </c>
      <c r="D49" s="1588">
        <v>150000000</v>
      </c>
      <c r="E49" s="1588"/>
      <c r="F49" s="676">
        <v>118506236.6</v>
      </c>
      <c r="G49" s="680">
        <v>75259034.03</v>
      </c>
      <c r="H49" s="1067">
        <v>53174235.48</v>
      </c>
      <c r="I49" s="1067"/>
      <c r="J49" s="680">
        <v>0</v>
      </c>
    </row>
    <row r="50" spans="1:10" ht="15.75" customHeight="1">
      <c r="A50" s="199" t="s">
        <v>246</v>
      </c>
      <c r="B50" s="677">
        <v>51737856</v>
      </c>
      <c r="C50" s="677">
        <f>B50</f>
        <v>51737856</v>
      </c>
      <c r="D50" s="1588">
        <v>22000000</v>
      </c>
      <c r="E50" s="1588"/>
      <c r="F50" s="676">
        <v>25990931.8</v>
      </c>
      <c r="G50" s="680">
        <v>14926442.58</v>
      </c>
      <c r="H50" s="1067">
        <v>17383868.25</v>
      </c>
      <c r="I50" s="1067"/>
      <c r="J50" s="680">
        <v>0</v>
      </c>
    </row>
    <row r="51" spans="1:10" ht="15.75" customHeight="1">
      <c r="A51" s="199" t="s">
        <v>247</v>
      </c>
      <c r="B51" s="677"/>
      <c r="C51" s="677">
        <f>B51</f>
        <v>0</v>
      </c>
      <c r="D51" s="1588"/>
      <c r="E51" s="1588"/>
      <c r="F51" s="676"/>
      <c r="G51" s="680">
        <v>0</v>
      </c>
      <c r="H51" s="1067"/>
      <c r="I51" s="1067">
        <v>0</v>
      </c>
      <c r="J51" s="680">
        <v>0</v>
      </c>
    </row>
    <row r="52" spans="1:10" s="201" customFormat="1" ht="15.75" customHeight="1">
      <c r="A52" s="702" t="s">
        <v>222</v>
      </c>
      <c r="B52" s="679">
        <f>B53+B54+B55</f>
        <v>0</v>
      </c>
      <c r="C52" s="679">
        <f>C53+C54+C55</f>
        <v>0</v>
      </c>
      <c r="D52" s="1589">
        <f>D53+D54+D55</f>
        <v>0</v>
      </c>
      <c r="E52" s="1589"/>
      <c r="F52" s="1119">
        <f>F53+F54+F55</f>
        <v>0</v>
      </c>
      <c r="G52" s="700">
        <v>0</v>
      </c>
      <c r="H52" s="1119">
        <f>H53+H54+H55</f>
        <v>0</v>
      </c>
      <c r="I52" s="693">
        <f>I53+I54+I55</f>
        <v>0</v>
      </c>
      <c r="J52" s="700">
        <v>0</v>
      </c>
    </row>
    <row r="53" spans="1:10" ht="13.5" customHeight="1">
      <c r="A53" s="199" t="s">
        <v>248</v>
      </c>
      <c r="B53" s="677"/>
      <c r="C53" s="677">
        <f>B53</f>
        <v>0</v>
      </c>
      <c r="D53" s="1588"/>
      <c r="E53" s="1588"/>
      <c r="F53" s="676"/>
      <c r="G53" s="680">
        <v>0</v>
      </c>
      <c r="H53" s="1067"/>
      <c r="I53" s="1067">
        <v>0</v>
      </c>
      <c r="J53" s="680">
        <v>0</v>
      </c>
    </row>
    <row r="54" spans="1:10" ht="13.5" customHeight="1">
      <c r="A54" s="199" t="s">
        <v>246</v>
      </c>
      <c r="B54" s="677"/>
      <c r="C54" s="677">
        <f>B54</f>
        <v>0</v>
      </c>
      <c r="D54" s="1588"/>
      <c r="E54" s="1588"/>
      <c r="F54" s="676"/>
      <c r="G54" s="680">
        <v>0</v>
      </c>
      <c r="H54" s="1067"/>
      <c r="I54" s="1067">
        <v>0</v>
      </c>
      <c r="J54" s="680">
        <v>0</v>
      </c>
    </row>
    <row r="55" spans="1:12" s="201" customFormat="1" ht="13.5" customHeight="1">
      <c r="A55" s="199" t="s">
        <v>247</v>
      </c>
      <c r="B55" s="679"/>
      <c r="C55" s="679">
        <f>B55</f>
        <v>0</v>
      </c>
      <c r="D55" s="1589"/>
      <c r="E55" s="1589"/>
      <c r="F55" s="1119"/>
      <c r="G55" s="700">
        <v>0</v>
      </c>
      <c r="H55" s="693"/>
      <c r="I55" s="693">
        <v>0</v>
      </c>
      <c r="J55" s="700">
        <v>0</v>
      </c>
      <c r="L55" s="1382"/>
    </row>
    <row r="56" spans="1:10" s="201" customFormat="1" ht="13.5" customHeight="1">
      <c r="A56" s="699" t="s">
        <v>648</v>
      </c>
      <c r="B56" s="679">
        <f>B57+B58</f>
        <v>0</v>
      </c>
      <c r="C56" s="679">
        <f>C57+C58</f>
        <v>0</v>
      </c>
      <c r="D56" s="1589">
        <f>D57+D58</f>
        <v>0</v>
      </c>
      <c r="E56" s="1589"/>
      <c r="F56" s="1119">
        <f>F57+F58</f>
        <v>0</v>
      </c>
      <c r="G56" s="700">
        <v>0</v>
      </c>
      <c r="H56" s="1119">
        <f>H57+H58</f>
        <v>0</v>
      </c>
      <c r="I56" s="693">
        <v>0</v>
      </c>
      <c r="J56" s="700">
        <v>0</v>
      </c>
    </row>
    <row r="57" spans="1:10" ht="13.5" customHeight="1">
      <c r="A57" s="198" t="s">
        <v>649</v>
      </c>
      <c r="B57" s="677"/>
      <c r="C57" s="677">
        <f>B57</f>
        <v>0</v>
      </c>
      <c r="D57" s="1588"/>
      <c r="E57" s="1588"/>
      <c r="F57" s="676"/>
      <c r="G57" s="680">
        <v>0</v>
      </c>
      <c r="H57" s="1067"/>
      <c r="I57" s="1067">
        <v>0</v>
      </c>
      <c r="J57" s="680">
        <v>0</v>
      </c>
    </row>
    <row r="58" spans="1:10" ht="13.5" customHeight="1">
      <c r="A58" s="196" t="s">
        <v>250</v>
      </c>
      <c r="B58" s="677"/>
      <c r="C58" s="677"/>
      <c r="D58" s="1508"/>
      <c r="E58" s="1508"/>
      <c r="F58" s="1116"/>
      <c r="G58" s="680">
        <v>0</v>
      </c>
      <c r="H58" s="1067"/>
      <c r="I58" s="1067">
        <v>0</v>
      </c>
      <c r="J58" s="680">
        <v>0</v>
      </c>
    </row>
    <row r="59" spans="1:10" ht="13.5" customHeight="1">
      <c r="A59" s="187" t="s">
        <v>251</v>
      </c>
      <c r="B59" s="677">
        <v>0</v>
      </c>
      <c r="C59" s="677">
        <v>0</v>
      </c>
      <c r="D59" s="1560">
        <v>0</v>
      </c>
      <c r="E59" s="1560"/>
      <c r="F59" s="1118"/>
      <c r="G59" s="1136">
        <v>0</v>
      </c>
      <c r="H59" s="1067"/>
      <c r="I59" s="1137">
        <v>0</v>
      </c>
      <c r="J59" s="1136">
        <v>0</v>
      </c>
    </row>
    <row r="60" spans="1:10" s="201" customFormat="1" ht="15.75" customHeight="1">
      <c r="A60" s="200" t="s">
        <v>252</v>
      </c>
      <c r="B60" s="679">
        <f>B43+B59</f>
        <v>192330432</v>
      </c>
      <c r="C60" s="1009">
        <f>C43+C59</f>
        <v>192330432</v>
      </c>
      <c r="D60" s="1528">
        <f>D43+D59</f>
        <v>185052840.25</v>
      </c>
      <c r="E60" s="1529"/>
      <c r="F60" s="1009">
        <f>F43+F59</f>
        <v>150512855.74</v>
      </c>
      <c r="G60" s="1009">
        <f>G43+G59</f>
        <v>94610289.16</v>
      </c>
      <c r="H60" s="1009">
        <f>H43+H59</f>
        <v>73908147.13</v>
      </c>
      <c r="I60" s="1009">
        <f>I43+I59</f>
        <v>0</v>
      </c>
      <c r="J60" s="1020">
        <f>J43+J59</f>
        <v>0</v>
      </c>
    </row>
    <row r="61" spans="1:10" s="201" customFormat="1" ht="15.75" customHeight="1">
      <c r="A61" s="200" t="s">
        <v>253</v>
      </c>
      <c r="B61" s="679">
        <f>B38-B60</f>
        <v>-10462411</v>
      </c>
      <c r="C61" s="1009">
        <f>C38-C60</f>
        <v>-10462411</v>
      </c>
      <c r="D61" s="1502">
        <f>D38-D60</f>
        <v>-95331632.96000001</v>
      </c>
      <c r="E61" s="1503"/>
      <c r="F61" s="1009">
        <f>H38-F60</f>
        <v>-72164033.66000001</v>
      </c>
      <c r="G61" s="1009">
        <f>D38-G60</f>
        <v>-4889081.870000005</v>
      </c>
      <c r="H61" s="1009">
        <f>H38-H60</f>
        <v>4440674.950000003</v>
      </c>
      <c r="I61" s="1009">
        <f>I38-I60</f>
        <v>0</v>
      </c>
      <c r="J61" s="1020">
        <f>J38-J60</f>
        <v>0</v>
      </c>
    </row>
    <row r="62" spans="1:10" ht="12.75" customHeight="1">
      <c r="A62" s="202"/>
      <c r="B62" s="203"/>
      <c r="C62" s="204"/>
      <c r="D62" s="1584"/>
      <c r="E62" s="1584"/>
      <c r="F62" s="205"/>
      <c r="G62" s="205"/>
      <c r="H62" s="205"/>
      <c r="I62" s="1068"/>
      <c r="J62" s="1069"/>
    </row>
    <row r="63" spans="1:10" ht="24.75" customHeight="1">
      <c r="A63" s="1585" t="s">
        <v>90</v>
      </c>
      <c r="B63" s="1585"/>
      <c r="C63" s="1585"/>
      <c r="D63" s="1585"/>
      <c r="E63" s="1585"/>
      <c r="F63" s="1585"/>
      <c r="G63" s="1585"/>
      <c r="H63" s="1585"/>
      <c r="I63" s="1585"/>
      <c r="J63" s="1585"/>
    </row>
    <row r="64" spans="1:10" ht="12.75" customHeight="1">
      <c r="A64" s="206" t="str">
        <f>'[12]Anexo II_DP FUNC'!A122:L122</f>
        <v>a) Despesas liquidadas, consideradas aquelas em que houve a entrega do material ou serviço, nos termos do art. 63 da Lei 4.320/64;</v>
      </c>
      <c r="B64" s="203"/>
      <c r="C64" s="204"/>
      <c r="D64" s="205"/>
      <c r="E64" s="205"/>
      <c r="F64" s="205"/>
      <c r="G64" s="205"/>
      <c r="H64" s="205"/>
      <c r="I64" s="1068"/>
      <c r="J64" s="1069"/>
    </row>
    <row r="65" spans="1:10" ht="12.75" customHeight="1">
      <c r="A65" s="206" t="str">
        <f>'[12]Anexo II_DP FUNC'!A123:L123</f>
        <v>b) Despesas empenhadas mas não liquidadas, inscritas em Restos a Pagar não-processados, consideradas liquidadas no encerramento do exercício, por força do art.35, inciso II da Lei 4.320/64.</v>
      </c>
      <c r="B65" s="203"/>
      <c r="C65" s="204"/>
      <c r="D65" s="205"/>
      <c r="E65" s="205"/>
      <c r="F65" s="205"/>
      <c r="G65" s="205"/>
      <c r="H65" s="205"/>
      <c r="I65" s="1068"/>
      <c r="J65" s="1069"/>
    </row>
    <row r="66" spans="2:10" ht="12.75" customHeight="1">
      <c r="B66" s="203"/>
      <c r="C66" s="204"/>
      <c r="D66" s="205"/>
      <c r="E66" s="205"/>
      <c r="F66" s="205"/>
      <c r="G66" s="205"/>
      <c r="H66" s="205"/>
      <c r="I66" s="1068"/>
      <c r="J66" s="1069"/>
    </row>
    <row r="67" spans="2:10" ht="12.75" customHeight="1">
      <c r="B67" s="203"/>
      <c r="C67" s="204"/>
      <c r="D67" s="205"/>
      <c r="E67" s="205"/>
      <c r="F67" s="205"/>
      <c r="G67" s="205"/>
      <c r="H67" s="205"/>
      <c r="I67" s="1068"/>
      <c r="J67" s="1069"/>
    </row>
    <row r="68" spans="2:10" ht="8.25" customHeight="1">
      <c r="B68" s="203"/>
      <c r="C68" s="204"/>
      <c r="D68" s="204"/>
      <c r="E68" s="204"/>
      <c r="F68" s="204"/>
      <c r="G68" s="204"/>
      <c r="H68" s="204"/>
      <c r="I68" s="204"/>
      <c r="J68" s="1070"/>
    </row>
    <row r="69" spans="1:10" ht="12.75">
      <c r="A69" s="1586" t="s">
        <v>182</v>
      </c>
      <c r="B69" s="1586"/>
      <c r="C69" s="1586"/>
      <c r="D69" s="1586"/>
      <c r="E69" s="1586"/>
      <c r="F69" s="1586"/>
      <c r="G69" s="1586"/>
      <c r="H69" s="1586"/>
      <c r="I69" s="1586"/>
      <c r="J69" s="1586"/>
    </row>
    <row r="70" spans="1:10" ht="12.75">
      <c r="A70" s="1586" t="s">
        <v>0</v>
      </c>
      <c r="B70" s="1586"/>
      <c r="C70" s="1586"/>
      <c r="D70" s="1586"/>
      <c r="E70" s="1586"/>
      <c r="F70" s="1586"/>
      <c r="G70" s="1586"/>
      <c r="H70" s="1586"/>
      <c r="I70" s="1586"/>
      <c r="J70" s="1586"/>
    </row>
    <row r="71" spans="1:10" ht="12.75">
      <c r="A71" s="1587" t="s">
        <v>254</v>
      </c>
      <c r="B71" s="1587"/>
      <c r="C71" s="1587"/>
      <c r="D71" s="1587"/>
      <c r="E71" s="1587"/>
      <c r="F71" s="1587"/>
      <c r="G71" s="1587"/>
      <c r="H71" s="1587"/>
      <c r="I71" s="1587"/>
      <c r="J71" s="1587"/>
    </row>
    <row r="72" spans="1:10" ht="12.75">
      <c r="A72" s="1586" t="s">
        <v>212</v>
      </c>
      <c r="B72" s="1586"/>
      <c r="C72" s="1586"/>
      <c r="D72" s="1586"/>
      <c r="E72" s="1586"/>
      <c r="F72" s="1586"/>
      <c r="G72" s="1586"/>
      <c r="H72" s="1586"/>
      <c r="I72" s="1586"/>
      <c r="J72" s="1586"/>
    </row>
    <row r="73" spans="1:10" s="1" customFormat="1" ht="15.75" customHeight="1">
      <c r="A73" s="1581" t="str">
        <f>A5</f>
        <v>Referência: JANEIRO-JUNHO/2015; BIMESTRE: MAIO-JUNHO/2015</v>
      </c>
      <c r="B73" s="1581"/>
      <c r="C73" s="1581"/>
      <c r="D73" s="1581"/>
      <c r="E73" s="183"/>
      <c r="F73" s="183"/>
      <c r="G73" s="1582" t="s">
        <v>950</v>
      </c>
      <c r="H73" s="1582"/>
      <c r="I73" s="1582"/>
      <c r="J73" s="1582"/>
    </row>
    <row r="74" spans="1:11" ht="17.25" customHeight="1">
      <c r="A74" s="122" t="s">
        <v>650</v>
      </c>
      <c r="B74" s="185"/>
      <c r="C74" s="185"/>
      <c r="D74" s="185"/>
      <c r="E74" s="185"/>
      <c r="F74" s="185"/>
      <c r="G74" s="1582" t="s">
        <v>951</v>
      </c>
      <c r="H74" s="1582"/>
      <c r="I74" s="1582"/>
      <c r="J74" s="1126" t="s">
        <v>539</v>
      </c>
      <c r="K74" s="626"/>
    </row>
    <row r="75" spans="1:10" s="120" customFormat="1" ht="11.25" customHeight="1">
      <c r="A75" s="1583" t="s">
        <v>255</v>
      </c>
      <c r="B75" s="1519" t="s">
        <v>849</v>
      </c>
      <c r="C75" s="1520"/>
      <c r="D75" s="1520"/>
      <c r="E75" s="1520"/>
      <c r="F75" s="1520"/>
      <c r="G75" s="1520"/>
      <c r="H75" s="1520"/>
      <c r="I75" s="1520"/>
      <c r="J75" s="1521"/>
    </row>
    <row r="76" spans="1:10" s="120" customFormat="1" ht="11.25" customHeight="1">
      <c r="A76" s="1583"/>
      <c r="B76" s="1522"/>
      <c r="C76" s="1523"/>
      <c r="D76" s="1523"/>
      <c r="E76" s="1523"/>
      <c r="F76" s="1523"/>
      <c r="G76" s="1523"/>
      <c r="H76" s="1523"/>
      <c r="I76" s="1523"/>
      <c r="J76" s="1524"/>
    </row>
    <row r="77" spans="1:10" s="120" customFormat="1" ht="11.25" customHeight="1">
      <c r="A77" s="1583"/>
      <c r="B77" s="1525"/>
      <c r="C77" s="1526"/>
      <c r="D77" s="1526"/>
      <c r="E77" s="1526"/>
      <c r="F77" s="1526"/>
      <c r="G77" s="1526"/>
      <c r="H77" s="1526"/>
      <c r="I77" s="1526"/>
      <c r="J77" s="1527"/>
    </row>
    <row r="78" spans="1:10" s="587" customFormat="1" ht="11.25" customHeight="1">
      <c r="A78" s="703" t="s">
        <v>260</v>
      </c>
      <c r="B78" s="1128">
        <f>B79+B83</f>
        <v>36509720.94</v>
      </c>
      <c r="C78" s="1127"/>
      <c r="D78" s="1127"/>
      <c r="E78" s="1127"/>
      <c r="F78" s="1127"/>
      <c r="G78" s="1127"/>
      <c r="H78" s="1127"/>
      <c r="I78" s="1127"/>
      <c r="J78" s="1129"/>
    </row>
    <row r="79" spans="1:10" s="120" customFormat="1" ht="11.25" customHeight="1">
      <c r="A79" s="209" t="s">
        <v>261</v>
      </c>
      <c r="B79" s="1131">
        <f>B80+B81+B82</f>
        <v>36509720.94</v>
      </c>
      <c r="C79" s="1130"/>
      <c r="D79" s="1130"/>
      <c r="E79" s="1130"/>
      <c r="F79" s="1130"/>
      <c r="G79" s="1130"/>
      <c r="H79" s="1130"/>
      <c r="I79" s="1130"/>
      <c r="J79" s="1132"/>
    </row>
    <row r="80" spans="1:10" s="120" customFormat="1" ht="11.25" customHeight="1">
      <c r="A80" s="209" t="s">
        <v>262</v>
      </c>
      <c r="B80" s="1131">
        <v>36509720.94</v>
      </c>
      <c r="C80" s="1130"/>
      <c r="D80" s="1130"/>
      <c r="E80" s="1130"/>
      <c r="F80" s="1130"/>
      <c r="G80" s="1130"/>
      <c r="H80" s="1130"/>
      <c r="I80" s="1130"/>
      <c r="J80" s="1132"/>
    </row>
    <row r="81" spans="1:10" s="120" customFormat="1" ht="11.25" customHeight="1">
      <c r="A81" s="209" t="s">
        <v>263</v>
      </c>
      <c r="B81" s="1131"/>
      <c r="C81" s="1130"/>
      <c r="D81" s="1130"/>
      <c r="E81" s="1130"/>
      <c r="F81" s="1130"/>
      <c r="G81" s="1130"/>
      <c r="H81" s="1130"/>
      <c r="I81" s="1130"/>
      <c r="J81" s="1132"/>
    </row>
    <row r="82" spans="1:10" s="120" customFormat="1" ht="11.25" customHeight="1">
      <c r="A82" s="209" t="s">
        <v>264</v>
      </c>
      <c r="B82" s="1131"/>
      <c r="C82" s="1130"/>
      <c r="D82" s="1130"/>
      <c r="E82" s="1130"/>
      <c r="F82" s="1130"/>
      <c r="G82" s="1130"/>
      <c r="H82" s="1130"/>
      <c r="I82" s="1130"/>
      <c r="J82" s="1132"/>
    </row>
    <row r="83" spans="1:10" s="587" customFormat="1" ht="11.25" customHeight="1">
      <c r="A83" s="703" t="s">
        <v>265</v>
      </c>
      <c r="B83" s="1131">
        <f>B84+B85+B86</f>
        <v>0</v>
      </c>
      <c r="C83" s="1130"/>
      <c r="D83" s="1130"/>
      <c r="E83" s="1130"/>
      <c r="F83" s="1130"/>
      <c r="G83" s="1130"/>
      <c r="H83" s="1130"/>
      <c r="I83" s="1130"/>
      <c r="J83" s="1132"/>
    </row>
    <row r="84" spans="1:10" s="120" customFormat="1" ht="11.25" customHeight="1">
      <c r="A84" s="209" t="s">
        <v>266</v>
      </c>
      <c r="B84" s="1131"/>
      <c r="C84" s="1130"/>
      <c r="D84" s="1130"/>
      <c r="E84" s="1130"/>
      <c r="F84" s="1130"/>
      <c r="G84" s="1130"/>
      <c r="H84" s="1130"/>
      <c r="I84" s="1130"/>
      <c r="J84" s="1132"/>
    </row>
    <row r="85" spans="1:10" s="120" customFormat="1" ht="11.25" customHeight="1">
      <c r="A85" s="209" t="s">
        <v>267</v>
      </c>
      <c r="B85" s="1131"/>
      <c r="C85" s="1130"/>
      <c r="D85" s="1130"/>
      <c r="E85" s="1130"/>
      <c r="F85" s="1130"/>
      <c r="G85" s="1130"/>
      <c r="H85" s="1130"/>
      <c r="I85" s="1130"/>
      <c r="J85" s="1132"/>
    </row>
    <row r="86" spans="1:10" s="120" customFormat="1" ht="11.25" customHeight="1">
      <c r="A86" s="210" t="s">
        <v>264</v>
      </c>
      <c r="B86" s="1133"/>
      <c r="C86" s="1134"/>
      <c r="D86" s="1134"/>
      <c r="E86" s="1134"/>
      <c r="F86" s="1134"/>
      <c r="G86" s="1134"/>
      <c r="H86" s="1134"/>
      <c r="I86" s="1134"/>
      <c r="J86" s="1135"/>
    </row>
    <row r="87" spans="1:10" s="120" customFormat="1" ht="11.25" customHeight="1">
      <c r="A87" s="182"/>
      <c r="B87" s="203"/>
      <c r="C87" s="204"/>
      <c r="D87" s="204"/>
      <c r="E87" s="204"/>
      <c r="F87" s="204"/>
      <c r="G87" s="204"/>
      <c r="H87" s="204"/>
      <c r="I87" s="204"/>
      <c r="J87" s="1071"/>
    </row>
    <row r="88" spans="1:10" s="120" customFormat="1" ht="15" customHeight="1">
      <c r="A88" s="1571" t="s">
        <v>268</v>
      </c>
      <c r="B88" s="1571"/>
      <c r="C88" s="1571"/>
      <c r="D88" s="1572" t="s">
        <v>269</v>
      </c>
      <c r="E88" s="1572"/>
      <c r="F88" s="1572"/>
      <c r="G88" s="1572"/>
      <c r="H88" s="1572"/>
      <c r="I88" s="1572"/>
      <c r="J88" s="1573"/>
    </row>
    <row r="89" spans="1:10" s="120" customFormat="1" ht="11.25" customHeight="1">
      <c r="A89" s="1574" t="s">
        <v>270</v>
      </c>
      <c r="B89" s="1574"/>
      <c r="C89" s="1574"/>
      <c r="D89" s="1575"/>
      <c r="E89" s="1575"/>
      <c r="F89" s="1575"/>
      <c r="G89" s="1575"/>
      <c r="H89" s="1575"/>
      <c r="I89" s="1575"/>
      <c r="J89" s="1576"/>
    </row>
    <row r="90" spans="1:10" ht="11.25">
      <c r="A90" s="184"/>
      <c r="B90" s="185"/>
      <c r="C90" s="185"/>
      <c r="D90" s="185"/>
      <c r="E90" s="185"/>
      <c r="F90" s="185"/>
      <c r="G90" s="185"/>
      <c r="H90" s="185"/>
      <c r="I90" s="185"/>
      <c r="J90" s="1072"/>
    </row>
    <row r="91" spans="1:10" s="120" customFormat="1" ht="11.25" customHeight="1">
      <c r="A91" s="1567" t="s">
        <v>271</v>
      </c>
      <c r="B91" s="1577" t="s">
        <v>272</v>
      </c>
      <c r="C91" s="1578"/>
      <c r="D91" s="1578"/>
      <c r="E91" s="1578"/>
      <c r="F91" s="1578"/>
      <c r="G91" s="1578"/>
      <c r="H91" s="1578"/>
      <c r="I91" s="1578"/>
      <c r="J91" s="1579"/>
    </row>
    <row r="92" spans="1:10" s="120" customFormat="1" ht="11.25" customHeight="1">
      <c r="A92" s="1567"/>
      <c r="B92" s="1580" t="s">
        <v>367</v>
      </c>
      <c r="C92" s="1569"/>
      <c r="D92" s="1569"/>
      <c r="E92" s="1569"/>
      <c r="F92" s="1569"/>
      <c r="G92" s="1568" t="s">
        <v>550</v>
      </c>
      <c r="H92" s="1569"/>
      <c r="I92" s="1569"/>
      <c r="J92" s="1570"/>
    </row>
    <row r="93" spans="1:15" s="120" customFormat="1" ht="11.25" customHeight="1">
      <c r="A93" s="211" t="s">
        <v>273</v>
      </c>
      <c r="B93" s="1534"/>
      <c r="C93" s="1535"/>
      <c r="D93" s="1535"/>
      <c r="E93" s="1535"/>
      <c r="F93" s="1535"/>
      <c r="G93" s="1511"/>
      <c r="H93" s="1512"/>
      <c r="I93" s="1512"/>
      <c r="J93" s="1513"/>
      <c r="L93" s="1543"/>
      <c r="M93" s="1543"/>
      <c r="N93" s="1543"/>
      <c r="O93" s="1543"/>
    </row>
    <row r="94" spans="1:15" s="120" customFormat="1" ht="11.25" customHeight="1">
      <c r="A94" s="211" t="s">
        <v>274</v>
      </c>
      <c r="B94" s="1544">
        <v>6919649.58</v>
      </c>
      <c r="C94" s="1545"/>
      <c r="D94" s="1545"/>
      <c r="E94" s="1545"/>
      <c r="F94" s="1547"/>
      <c r="G94" s="1544">
        <v>9921852.5</v>
      </c>
      <c r="H94" s="1545"/>
      <c r="I94" s="1545"/>
      <c r="J94" s="1546"/>
      <c r="L94" s="1543"/>
      <c r="M94" s="1543"/>
      <c r="N94" s="1543"/>
      <c r="O94" s="1543"/>
    </row>
    <row r="95" spans="1:15" s="120" customFormat="1" ht="11.25" customHeight="1">
      <c r="A95" s="211" t="s">
        <v>75</v>
      </c>
      <c r="B95" s="1544">
        <v>178865472.23</v>
      </c>
      <c r="C95" s="1545"/>
      <c r="D95" s="1545"/>
      <c r="E95" s="1545"/>
      <c r="F95" s="1547"/>
      <c r="G95" s="1544">
        <v>132667298.77</v>
      </c>
      <c r="H95" s="1545"/>
      <c r="I95" s="1545"/>
      <c r="J95" s="1546"/>
      <c r="L95" s="1543"/>
      <c r="M95" s="1543"/>
      <c r="N95" s="1543"/>
      <c r="O95" s="1543"/>
    </row>
    <row r="96" spans="1:10" s="120" customFormat="1" ht="11.25" customHeight="1">
      <c r="A96" s="211" t="s">
        <v>275</v>
      </c>
      <c r="B96" s="1534"/>
      <c r="C96" s="1535"/>
      <c r="D96" s="1535"/>
      <c r="E96" s="1535"/>
      <c r="F96" s="1536"/>
      <c r="G96" s="1511"/>
      <c r="H96" s="1512"/>
      <c r="I96" s="1512"/>
      <c r="J96" s="1513"/>
    </row>
    <row r="97" spans="1:9" ht="11.25">
      <c r="A97" s="184"/>
      <c r="B97" s="185"/>
      <c r="C97" s="185"/>
      <c r="D97" s="185"/>
      <c r="E97" s="185"/>
      <c r="F97" s="185"/>
      <c r="G97" s="185"/>
      <c r="H97" s="185"/>
      <c r="I97" s="185"/>
    </row>
    <row r="98" spans="1:9" ht="11.25">
      <c r="A98" s="184"/>
      <c r="B98" s="185"/>
      <c r="C98" s="185"/>
      <c r="D98" s="185"/>
      <c r="E98" s="185"/>
      <c r="F98" s="185"/>
      <c r="G98" s="185"/>
      <c r="H98" s="185"/>
      <c r="I98" s="185"/>
    </row>
    <row r="99" spans="1:10" ht="17.25" customHeight="1">
      <c r="A99" s="1563" t="s">
        <v>276</v>
      </c>
      <c r="B99" s="1564" t="s">
        <v>214</v>
      </c>
      <c r="C99" s="1564" t="s">
        <v>215</v>
      </c>
      <c r="D99" s="1565" t="s">
        <v>216</v>
      </c>
      <c r="E99" s="1565"/>
      <c r="F99" s="1565"/>
      <c r="G99" s="1565"/>
      <c r="H99" s="1565"/>
      <c r="I99" s="1565"/>
      <c r="J99" s="1566"/>
    </row>
    <row r="100" spans="1:10" ht="17.25" customHeight="1">
      <c r="A100" s="1563"/>
      <c r="B100" s="1564"/>
      <c r="C100" s="1564"/>
      <c r="D100" s="1564" t="s">
        <v>844</v>
      </c>
      <c r="E100" s="1564"/>
      <c r="F100" s="1564"/>
      <c r="G100" s="1564"/>
      <c r="H100" s="1504" t="s">
        <v>822</v>
      </c>
      <c r="I100" s="1505"/>
      <c r="J100" s="1506"/>
    </row>
    <row r="101" spans="1:10" ht="13.5" customHeight="1">
      <c r="A101" s="188" t="s">
        <v>277</v>
      </c>
      <c r="B101" s="675">
        <f>B102+B114+B115</f>
        <v>86178831</v>
      </c>
      <c r="C101" s="675">
        <f>C102+C114+C115</f>
        <v>86178831</v>
      </c>
      <c r="D101" s="1551">
        <f>D102+D114+D115</f>
        <v>40884605</v>
      </c>
      <c r="E101" s="1551"/>
      <c r="F101" s="1551"/>
      <c r="G101" s="1551"/>
      <c r="H101" s="1508">
        <f>H102+H114+I115</f>
        <v>34533838.27</v>
      </c>
      <c r="I101" s="1509"/>
      <c r="J101" s="1510"/>
    </row>
    <row r="102" spans="1:10" ht="13.5" customHeight="1">
      <c r="A102" s="189" t="s">
        <v>194</v>
      </c>
      <c r="B102" s="677">
        <f>B103+B108+B112+B113</f>
        <v>86178831</v>
      </c>
      <c r="C102" s="677">
        <f>C103+C108+C112+C113</f>
        <v>86178831</v>
      </c>
      <c r="D102" s="1551">
        <f>D103+D108+D112+D113</f>
        <v>40884605</v>
      </c>
      <c r="E102" s="1551"/>
      <c r="F102" s="1551"/>
      <c r="G102" s="1551"/>
      <c r="H102" s="1508">
        <f>H103+H108+H112+H113</f>
        <v>34533838.27</v>
      </c>
      <c r="I102" s="1509"/>
      <c r="J102" s="1510"/>
    </row>
    <row r="103" spans="1:10" s="201" customFormat="1" ht="13.5" customHeight="1">
      <c r="A103" s="698" t="s">
        <v>218</v>
      </c>
      <c r="B103" s="679">
        <f>B104+B105+B106+B107</f>
        <v>86178831</v>
      </c>
      <c r="C103" s="679">
        <f>C104+C105+C106+C107</f>
        <v>86178831</v>
      </c>
      <c r="D103" s="1514">
        <f>D104+D105+D106+D107</f>
        <v>40884605</v>
      </c>
      <c r="E103" s="1514"/>
      <c r="F103" s="1514"/>
      <c r="G103" s="1514"/>
      <c r="H103" s="1540">
        <f>H104+H105+H106+H107</f>
        <v>34533838.27</v>
      </c>
      <c r="I103" s="1541"/>
      <c r="J103" s="1542"/>
    </row>
    <row r="104" spans="1:10" ht="3.75" customHeight="1">
      <c r="A104" s="191"/>
      <c r="B104" s="678"/>
      <c r="C104" s="677"/>
      <c r="D104" s="1560"/>
      <c r="E104" s="1560"/>
      <c r="F104" s="1560"/>
      <c r="G104" s="1560"/>
      <c r="H104" s="1117"/>
      <c r="I104" s="1561"/>
      <c r="J104" s="1562"/>
    </row>
    <row r="105" spans="1:10" ht="13.5" customHeight="1">
      <c r="A105" s="191" t="s">
        <v>278</v>
      </c>
      <c r="B105" s="677">
        <v>86178831</v>
      </c>
      <c r="C105" s="677">
        <f>B105</f>
        <v>86178831</v>
      </c>
      <c r="D105" s="1555">
        <v>40884605</v>
      </c>
      <c r="E105" s="1555"/>
      <c r="F105" s="1555"/>
      <c r="G105" s="1555"/>
      <c r="H105" s="1537">
        <v>34533838.27</v>
      </c>
      <c r="I105" s="1538"/>
      <c r="J105" s="1539"/>
    </row>
    <row r="106" spans="1:10" ht="13.5" customHeight="1">
      <c r="A106" s="191" t="s">
        <v>279</v>
      </c>
      <c r="B106" s="677">
        <v>0</v>
      </c>
      <c r="C106" s="677">
        <f>B106</f>
        <v>0</v>
      </c>
      <c r="D106" s="1556"/>
      <c r="E106" s="1556"/>
      <c r="F106" s="1556"/>
      <c r="G106" s="1556"/>
      <c r="H106" s="1508">
        <v>0</v>
      </c>
      <c r="I106" s="1509"/>
      <c r="J106" s="1510"/>
    </row>
    <row r="107" spans="1:10" ht="13.5" customHeight="1">
      <c r="A107" s="191" t="s">
        <v>280</v>
      </c>
      <c r="B107" s="677">
        <v>0</v>
      </c>
      <c r="C107" s="677">
        <f>B107</f>
        <v>0</v>
      </c>
      <c r="D107" s="1556">
        <v>0</v>
      </c>
      <c r="E107" s="1556"/>
      <c r="F107" s="1556"/>
      <c r="G107" s="1556"/>
      <c r="H107" s="1508">
        <v>0</v>
      </c>
      <c r="I107" s="1509"/>
      <c r="J107" s="1510"/>
    </row>
    <row r="108" spans="1:10" s="201" customFormat="1" ht="13.5" customHeight="1">
      <c r="A108" s="698" t="s">
        <v>222</v>
      </c>
      <c r="B108" s="679">
        <f>B109+B110+B111</f>
        <v>0</v>
      </c>
      <c r="C108" s="679">
        <f>C109+C110+C111</f>
        <v>0</v>
      </c>
      <c r="D108" s="1557">
        <f>D109+D110+D111</f>
        <v>0</v>
      </c>
      <c r="E108" s="1558"/>
      <c r="F108" s="1558"/>
      <c r="G108" s="1559"/>
      <c r="H108" s="1540">
        <f>H109+H110+H111</f>
        <v>0</v>
      </c>
      <c r="I108" s="1541"/>
      <c r="J108" s="1542"/>
    </row>
    <row r="109" spans="1:10" ht="13.5" customHeight="1">
      <c r="A109" s="191" t="s">
        <v>281</v>
      </c>
      <c r="B109" s="677"/>
      <c r="C109" s="677"/>
      <c r="D109" s="1515"/>
      <c r="E109" s="1515"/>
      <c r="F109" s="1515"/>
      <c r="G109" s="1515"/>
      <c r="H109" s="1508">
        <v>0</v>
      </c>
      <c r="I109" s="1509"/>
      <c r="J109" s="1510"/>
    </row>
    <row r="110" spans="1:10" ht="13.5" customHeight="1">
      <c r="A110" s="191" t="s">
        <v>282</v>
      </c>
      <c r="B110" s="677"/>
      <c r="C110" s="677"/>
      <c r="D110" s="1515"/>
      <c r="E110" s="1515"/>
      <c r="F110" s="1515"/>
      <c r="G110" s="1515"/>
      <c r="H110" s="1508"/>
      <c r="I110" s="1509"/>
      <c r="J110" s="1510"/>
    </row>
    <row r="111" spans="1:10" ht="13.5" customHeight="1">
      <c r="A111" s="191" t="s">
        <v>283</v>
      </c>
      <c r="B111" s="677"/>
      <c r="C111" s="677"/>
      <c r="D111" s="1515"/>
      <c r="E111" s="1515"/>
      <c r="F111" s="1515"/>
      <c r="G111" s="1515"/>
      <c r="H111" s="1508"/>
      <c r="I111" s="1509"/>
      <c r="J111" s="1510"/>
    </row>
    <row r="112" spans="1:10" ht="13.5" customHeight="1">
      <c r="A112" s="190" t="s">
        <v>284</v>
      </c>
      <c r="B112" s="677"/>
      <c r="C112" s="677">
        <v>0</v>
      </c>
      <c r="D112" s="1515"/>
      <c r="E112" s="1515"/>
      <c r="F112" s="1515"/>
      <c r="G112" s="1515"/>
      <c r="H112" s="1508">
        <v>0</v>
      </c>
      <c r="I112" s="1509"/>
      <c r="J112" s="1510"/>
    </row>
    <row r="113" spans="1:10" ht="13.5" customHeight="1">
      <c r="A113" s="190" t="s">
        <v>285</v>
      </c>
      <c r="B113" s="677"/>
      <c r="C113" s="677"/>
      <c r="D113" s="1515"/>
      <c r="E113" s="1515"/>
      <c r="F113" s="1515"/>
      <c r="G113" s="1515"/>
      <c r="H113" s="1508">
        <v>0</v>
      </c>
      <c r="I113" s="1509"/>
      <c r="J113" s="1510"/>
    </row>
    <row r="114" spans="1:10" ht="13.5" customHeight="1">
      <c r="A114" s="189" t="s">
        <v>195</v>
      </c>
      <c r="B114" s="677">
        <v>0</v>
      </c>
      <c r="C114" s="677">
        <v>0</v>
      </c>
      <c r="D114" s="1515">
        <v>0</v>
      </c>
      <c r="E114" s="1515"/>
      <c r="F114" s="1515"/>
      <c r="G114" s="1515"/>
      <c r="H114" s="1508">
        <v>0</v>
      </c>
      <c r="I114" s="1509"/>
      <c r="J114" s="1510"/>
    </row>
    <row r="115" spans="1:10" ht="13.5" customHeight="1">
      <c r="A115" s="189" t="s">
        <v>205</v>
      </c>
      <c r="B115" s="677"/>
      <c r="C115" s="677"/>
      <c r="D115" s="1515"/>
      <c r="E115" s="1515"/>
      <c r="F115" s="1515"/>
      <c r="G115" s="1515"/>
      <c r="H115" s="1508"/>
      <c r="I115" s="1509"/>
      <c r="J115" s="1510"/>
    </row>
    <row r="116" spans="1:10" s="201" customFormat="1" ht="13.5" customHeight="1">
      <c r="A116" s="691" t="s">
        <v>286</v>
      </c>
      <c r="B116" s="679">
        <f>B117+B119</f>
        <v>0</v>
      </c>
      <c r="C116" s="679">
        <f>C117+C119</f>
        <v>0</v>
      </c>
      <c r="D116" s="1554">
        <f>D117+D119</f>
        <v>0</v>
      </c>
      <c r="E116" s="1554"/>
      <c r="F116" s="1554"/>
      <c r="G116" s="1554"/>
      <c r="H116" s="1540">
        <f>H117+H119</f>
        <v>0</v>
      </c>
      <c r="I116" s="1541"/>
      <c r="J116" s="1542"/>
    </row>
    <row r="117" spans="1:10" ht="13.5" customHeight="1">
      <c r="A117" s="189" t="s">
        <v>287</v>
      </c>
      <c r="B117" s="677"/>
      <c r="C117" s="677"/>
      <c r="D117" s="1551"/>
      <c r="E117" s="1551"/>
      <c r="F117" s="1551"/>
      <c r="G117" s="1551"/>
      <c r="H117" s="1508"/>
      <c r="I117" s="1509"/>
      <c r="J117" s="1510"/>
    </row>
    <row r="118" spans="1:10" ht="13.5" customHeight="1">
      <c r="A118" s="189" t="s">
        <v>230</v>
      </c>
      <c r="B118" s="677"/>
      <c r="C118" s="677"/>
      <c r="D118" s="1551"/>
      <c r="E118" s="1551"/>
      <c r="F118" s="1551"/>
      <c r="G118" s="1551"/>
      <c r="H118" s="1508"/>
      <c r="I118" s="1509"/>
      <c r="J118" s="1510"/>
    </row>
    <row r="119" spans="1:10" ht="13.5" customHeight="1">
      <c r="A119" s="189" t="s">
        <v>231</v>
      </c>
      <c r="B119" s="677"/>
      <c r="C119" s="677"/>
      <c r="D119" s="1551"/>
      <c r="E119" s="1551"/>
      <c r="F119" s="1551"/>
      <c r="G119" s="1551"/>
      <c r="H119" s="1508"/>
      <c r="I119" s="1509"/>
      <c r="J119" s="1510"/>
    </row>
    <row r="120" spans="1:10" ht="13.5" customHeight="1">
      <c r="A120" s="194" t="s">
        <v>288</v>
      </c>
      <c r="B120" s="677"/>
      <c r="C120" s="677"/>
      <c r="D120" s="1551"/>
      <c r="E120" s="1551"/>
      <c r="F120" s="1551"/>
      <c r="G120" s="1551"/>
      <c r="H120" s="1508"/>
      <c r="I120" s="1509"/>
      <c r="J120" s="1510"/>
    </row>
    <row r="121" spans="1:10" s="201" customFormat="1" ht="15.75" customHeight="1">
      <c r="A121" s="200" t="s">
        <v>289</v>
      </c>
      <c r="B121" s="679">
        <f>B101+B116-B120</f>
        <v>86178831</v>
      </c>
      <c r="C121" s="679">
        <f>C101+C116-C120</f>
        <v>86178831</v>
      </c>
      <c r="D121" s="1514">
        <f>D101+D116-D120</f>
        <v>40884605</v>
      </c>
      <c r="E121" s="1514"/>
      <c r="F121" s="1514"/>
      <c r="G121" s="1514"/>
      <c r="H121" s="1540">
        <f>H101+H116-H120</f>
        <v>34533838.27</v>
      </c>
      <c r="I121" s="1541"/>
      <c r="J121" s="1542"/>
    </row>
    <row r="122" spans="1:10" ht="13.5" customHeight="1">
      <c r="A122" s="213"/>
      <c r="B122" s="682"/>
      <c r="C122" s="682"/>
      <c r="D122" s="683"/>
      <c r="E122" s="683"/>
      <c r="F122" s="683"/>
      <c r="G122" s="683"/>
      <c r="H122" s="683"/>
      <c r="I122" s="683"/>
      <c r="J122" s="1073"/>
    </row>
    <row r="123" spans="1:10" ht="25.5" customHeight="1">
      <c r="A123" s="1549" t="s">
        <v>290</v>
      </c>
      <c r="B123" s="1550" t="s">
        <v>237</v>
      </c>
      <c r="C123" s="1550" t="s">
        <v>238</v>
      </c>
      <c r="D123" s="1504" t="s">
        <v>645</v>
      </c>
      <c r="E123" s="1505"/>
      <c r="F123" s="1506"/>
      <c r="G123" s="1507" t="s">
        <v>257</v>
      </c>
      <c r="H123" s="1506"/>
      <c r="I123" s="1505" t="s">
        <v>239</v>
      </c>
      <c r="J123" s="1506"/>
    </row>
    <row r="124" spans="1:10" ht="24" customHeight="1">
      <c r="A124" s="1549"/>
      <c r="B124" s="1550"/>
      <c r="C124" s="1550"/>
      <c r="D124" s="1530" t="str">
        <f>D100</f>
        <v>Até o Bimestre </v>
      </c>
      <c r="E124" s="1531"/>
      <c r="F124" s="1139" t="s">
        <v>822</v>
      </c>
      <c r="G124" s="1142" t="s">
        <v>103</v>
      </c>
      <c r="H124" s="1139" t="s">
        <v>822</v>
      </c>
      <c r="I124" s="1142" t="s">
        <v>848</v>
      </c>
      <c r="J124" s="1139" t="s">
        <v>851</v>
      </c>
    </row>
    <row r="125" spans="1:10" ht="15" customHeight="1">
      <c r="A125" s="193" t="s">
        <v>291</v>
      </c>
      <c r="B125" s="677">
        <f>B126+B127</f>
        <v>0</v>
      </c>
      <c r="C125" s="677">
        <f>C126+C127</f>
        <v>0</v>
      </c>
      <c r="D125" s="1532">
        <v>0</v>
      </c>
      <c r="E125" s="1533"/>
      <c r="F125" s="677">
        <f>F126+F127</f>
        <v>0</v>
      </c>
      <c r="G125" s="677">
        <f>G126+G127</f>
        <v>0</v>
      </c>
      <c r="H125" s="677">
        <f>H126+H127</f>
        <v>0</v>
      </c>
      <c r="I125" s="677">
        <f>I126+I127</f>
        <v>0</v>
      </c>
      <c r="J125" s="677">
        <f>J126+J127</f>
        <v>0</v>
      </c>
    </row>
    <row r="126" spans="1:10" ht="15" customHeight="1">
      <c r="A126" s="196" t="s">
        <v>242</v>
      </c>
      <c r="B126" s="677"/>
      <c r="C126" s="1138"/>
      <c r="D126" s="1532"/>
      <c r="E126" s="1533"/>
      <c r="F126" s="1053"/>
      <c r="G126" s="1053"/>
      <c r="H126" s="684"/>
      <c r="I126" s="1053">
        <v>0</v>
      </c>
      <c r="J126" s="1053"/>
    </row>
    <row r="127" spans="1:10" ht="15" customHeight="1">
      <c r="A127" s="196" t="s">
        <v>243</v>
      </c>
      <c r="B127" s="677"/>
      <c r="C127" s="1138"/>
      <c r="D127" s="1552"/>
      <c r="E127" s="1553"/>
      <c r="F127" s="1141"/>
      <c r="G127" s="1141"/>
      <c r="H127" s="682"/>
      <c r="I127" s="1053">
        <v>0</v>
      </c>
      <c r="J127" s="1053"/>
    </row>
    <row r="128" spans="1:10" ht="15" customHeight="1">
      <c r="A128" s="196" t="s">
        <v>244</v>
      </c>
      <c r="B128" s="677">
        <f>B129</f>
        <v>0</v>
      </c>
      <c r="C128" s="677">
        <f>C129</f>
        <v>0</v>
      </c>
      <c r="D128" s="1548">
        <f>D129</f>
        <v>0</v>
      </c>
      <c r="E128" s="1548"/>
      <c r="F128" s="677">
        <f>F129</f>
        <v>0</v>
      </c>
      <c r="G128" s="677">
        <f>G129</f>
        <v>0</v>
      </c>
      <c r="H128" s="677">
        <f>H129</f>
        <v>0</v>
      </c>
      <c r="I128" s="677">
        <f>I129</f>
        <v>0</v>
      </c>
      <c r="J128" s="677">
        <f>J129</f>
        <v>0</v>
      </c>
    </row>
    <row r="129" spans="1:10" ht="15" customHeight="1">
      <c r="A129" s="196" t="s">
        <v>292</v>
      </c>
      <c r="B129" s="677">
        <f>B130+B131+B132</f>
        <v>0</v>
      </c>
      <c r="C129" s="677">
        <f>C130+C131+C132</f>
        <v>0</v>
      </c>
      <c r="D129" s="1548">
        <f>D130+D131+D132</f>
        <v>0</v>
      </c>
      <c r="E129" s="1548"/>
      <c r="F129" s="677">
        <f>F130+F131+F132</f>
        <v>0</v>
      </c>
      <c r="G129" s="677">
        <f>G130+G131+G132</f>
        <v>0</v>
      </c>
      <c r="H129" s="677">
        <f>H130+H131+H132</f>
        <v>0</v>
      </c>
      <c r="I129" s="677">
        <f>I130+I131+I132</f>
        <v>0</v>
      </c>
      <c r="J129" s="677">
        <f>J130+J131+J132</f>
        <v>0</v>
      </c>
    </row>
    <row r="130" spans="1:10" ht="15" customHeight="1">
      <c r="A130" s="196" t="s">
        <v>293</v>
      </c>
      <c r="B130" s="677"/>
      <c r="C130" s="1138"/>
      <c r="D130" s="1548"/>
      <c r="E130" s="1548"/>
      <c r="F130" s="1052"/>
      <c r="G130" s="1052"/>
      <c r="H130" s="1140"/>
      <c r="I130" s="1053">
        <v>0</v>
      </c>
      <c r="J130" s="1053"/>
    </row>
    <row r="131" spans="1:10" ht="15" customHeight="1">
      <c r="A131" s="196" t="s">
        <v>294</v>
      </c>
      <c r="B131" s="677"/>
      <c r="C131" s="1138"/>
      <c r="D131" s="1548"/>
      <c r="E131" s="1548"/>
      <c r="F131" s="1052"/>
      <c r="G131" s="1052"/>
      <c r="H131" s="1140"/>
      <c r="I131" s="1053">
        <v>0</v>
      </c>
      <c r="J131" s="1053"/>
    </row>
    <row r="132" spans="1:10" ht="15" customHeight="1">
      <c r="A132" s="196" t="s">
        <v>295</v>
      </c>
      <c r="B132" s="677"/>
      <c r="C132" s="1138"/>
      <c r="D132" s="1548"/>
      <c r="E132" s="1548"/>
      <c r="F132" s="1052"/>
      <c r="G132" s="1052"/>
      <c r="H132" s="1140"/>
      <c r="I132" s="1053"/>
      <c r="J132" s="1053"/>
    </row>
    <row r="133" spans="1:10" ht="15" customHeight="1">
      <c r="A133" s="197" t="s">
        <v>296</v>
      </c>
      <c r="B133" s="679">
        <f>B125+B128</f>
        <v>0</v>
      </c>
      <c r="C133" s="1009">
        <f>C125+C128</f>
        <v>0</v>
      </c>
      <c r="D133" s="1502">
        <f>D125+D128</f>
        <v>0</v>
      </c>
      <c r="E133" s="1503"/>
      <c r="F133" s="1009">
        <f>F125+F128</f>
        <v>0</v>
      </c>
      <c r="G133" s="1009">
        <f>G125+G128</f>
        <v>0</v>
      </c>
      <c r="H133" s="1009">
        <f>H125+H128</f>
        <v>0</v>
      </c>
      <c r="I133" s="1009">
        <f>I125+I128</f>
        <v>0</v>
      </c>
      <c r="J133" s="1143">
        <f>J125+J128</f>
        <v>0</v>
      </c>
    </row>
    <row r="134" spans="1:10" ht="15.75" customHeight="1">
      <c r="A134" s="172" t="str">
        <f>'[12]Anexo VI _ RES NOM'!A43</f>
        <v>FONTE: SECRETARIA MUNICIPAL DA FAZENDA</v>
      </c>
      <c r="B134" s="173"/>
      <c r="C134" s="685"/>
      <c r="D134" s="686"/>
      <c r="E134" s="686"/>
      <c r="F134" s="686"/>
      <c r="G134" s="686"/>
      <c r="H134" s="686"/>
      <c r="I134" s="686"/>
      <c r="J134" s="686"/>
    </row>
    <row r="135" spans="1:10" ht="15.75" customHeight="1">
      <c r="A135" s="217"/>
      <c r="B135" s="216"/>
      <c r="C135" s="685"/>
      <c r="D135" s="686"/>
      <c r="E135" s="686"/>
      <c r="F135" s="686"/>
      <c r="G135" s="686"/>
      <c r="H135" s="686"/>
      <c r="I135" s="686"/>
      <c r="J135" s="686"/>
    </row>
    <row r="136" spans="1:10" ht="15.75" customHeight="1">
      <c r="A136" s="217" t="str">
        <f>'Anexo 1 _ BAL ORC'!A102</f>
        <v>  São Luís, 30 de Julho de 2015</v>
      </c>
      <c r="B136" s="212"/>
      <c r="C136" s="685"/>
      <c r="D136" s="686"/>
      <c r="E136" s="686"/>
      <c r="F136" s="686"/>
      <c r="G136" s="686"/>
      <c r="H136" s="686"/>
      <c r="I136" s="686"/>
      <c r="J136" s="686"/>
    </row>
    <row r="137" spans="1:10" ht="15.75" customHeight="1">
      <c r="A137" s="217"/>
      <c r="B137" s="212"/>
      <c r="C137" s="685"/>
      <c r="D137" s="686"/>
      <c r="E137" s="686"/>
      <c r="F137" s="686"/>
      <c r="G137" s="686"/>
      <c r="H137" s="686"/>
      <c r="I137" s="686"/>
      <c r="J137" s="686"/>
    </row>
    <row r="138" spans="1:9" ht="12.75">
      <c r="A138" s="218"/>
      <c r="B138" s="219"/>
      <c r="C138" s="220"/>
      <c r="D138" s="221"/>
      <c r="E138" s="131"/>
      <c r="F138" s="131"/>
      <c r="G138" s="131"/>
      <c r="H138" s="131"/>
      <c r="I138" s="131"/>
    </row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ht="11.25"/>
    <row r="150" ht="11.25"/>
    <row r="151" ht="11.25"/>
    <row r="152" ht="11.25"/>
    <row r="153" ht="11.25"/>
    <row r="154" ht="11.25"/>
    <row r="155" ht="11.25"/>
    <row r="178" ht="12.75" customHeight="1">
      <c r="A178" s="1349"/>
    </row>
  </sheetData>
  <sheetProtection/>
  <mergeCells count="191">
    <mergeCell ref="A8:A9"/>
    <mergeCell ref="B8:B9"/>
    <mergeCell ref="A1:J1"/>
    <mergeCell ref="A2:J2"/>
    <mergeCell ref="A3:J3"/>
    <mergeCell ref="A4:J4"/>
    <mergeCell ref="A5:D5"/>
    <mergeCell ref="E7:G7"/>
    <mergeCell ref="I7:J7"/>
    <mergeCell ref="C8:C9"/>
    <mergeCell ref="D8:J8"/>
    <mergeCell ref="D9:G9"/>
    <mergeCell ref="H9:J9"/>
    <mergeCell ref="D12:G12"/>
    <mergeCell ref="D13:G13"/>
    <mergeCell ref="H12:J12"/>
    <mergeCell ref="H13:J13"/>
    <mergeCell ref="D10:G10"/>
    <mergeCell ref="D11:G11"/>
    <mergeCell ref="H10:J10"/>
    <mergeCell ref="H11:J11"/>
    <mergeCell ref="D16:G16"/>
    <mergeCell ref="D17:G17"/>
    <mergeCell ref="H16:J16"/>
    <mergeCell ref="H17:J17"/>
    <mergeCell ref="D14:E14"/>
    <mergeCell ref="I14:J14"/>
    <mergeCell ref="D15:G15"/>
    <mergeCell ref="H15:J15"/>
    <mergeCell ref="H22:J22"/>
    <mergeCell ref="D20:G20"/>
    <mergeCell ref="D21:G21"/>
    <mergeCell ref="H20:J20"/>
    <mergeCell ref="H21:J21"/>
    <mergeCell ref="D18:G18"/>
    <mergeCell ref="D19:G19"/>
    <mergeCell ref="H18:J18"/>
    <mergeCell ref="H19:J19"/>
    <mergeCell ref="D27:G27"/>
    <mergeCell ref="D28:G28"/>
    <mergeCell ref="D25:G25"/>
    <mergeCell ref="D26:G26"/>
    <mergeCell ref="D22:G22"/>
    <mergeCell ref="D23:G23"/>
    <mergeCell ref="D24:G24"/>
    <mergeCell ref="D31:G31"/>
    <mergeCell ref="D32:G32"/>
    <mergeCell ref="H31:J31"/>
    <mergeCell ref="H32:J32"/>
    <mergeCell ref="D29:G29"/>
    <mergeCell ref="D30:G30"/>
    <mergeCell ref="H29:J29"/>
    <mergeCell ref="H30:J30"/>
    <mergeCell ref="D35:G35"/>
    <mergeCell ref="D36:G36"/>
    <mergeCell ref="H35:J35"/>
    <mergeCell ref="H36:J36"/>
    <mergeCell ref="D33:G33"/>
    <mergeCell ref="D34:G34"/>
    <mergeCell ref="H33:J33"/>
    <mergeCell ref="H34:J34"/>
    <mergeCell ref="A40:A42"/>
    <mergeCell ref="B40:B42"/>
    <mergeCell ref="C40:C42"/>
    <mergeCell ref="D37:G37"/>
    <mergeCell ref="D38:G38"/>
    <mergeCell ref="H37:J37"/>
    <mergeCell ref="H38:J38"/>
    <mergeCell ref="D40:F41"/>
    <mergeCell ref="G40:H41"/>
    <mergeCell ref="I40:J41"/>
    <mergeCell ref="D45:E45"/>
    <mergeCell ref="D46:E46"/>
    <mergeCell ref="D47:E47"/>
    <mergeCell ref="D42:E42"/>
    <mergeCell ref="D43:E43"/>
    <mergeCell ref="D44:E44"/>
    <mergeCell ref="D51:E51"/>
    <mergeCell ref="D52:E52"/>
    <mergeCell ref="D53:E53"/>
    <mergeCell ref="D48:E48"/>
    <mergeCell ref="D49:E49"/>
    <mergeCell ref="D50:E50"/>
    <mergeCell ref="D57:E57"/>
    <mergeCell ref="D58:E58"/>
    <mergeCell ref="D59:E59"/>
    <mergeCell ref="D54:E54"/>
    <mergeCell ref="D55:E55"/>
    <mergeCell ref="D56:E56"/>
    <mergeCell ref="A73:D73"/>
    <mergeCell ref="G73:J73"/>
    <mergeCell ref="G74:I74"/>
    <mergeCell ref="A75:A77"/>
    <mergeCell ref="D62:E62"/>
    <mergeCell ref="A63:J63"/>
    <mergeCell ref="A69:J69"/>
    <mergeCell ref="A70:J70"/>
    <mergeCell ref="A71:J71"/>
    <mergeCell ref="A72:J72"/>
    <mergeCell ref="A91:A92"/>
    <mergeCell ref="G92:J92"/>
    <mergeCell ref="A88:C88"/>
    <mergeCell ref="D88:J88"/>
    <mergeCell ref="A89:C89"/>
    <mergeCell ref="D89:J89"/>
    <mergeCell ref="B91:J91"/>
    <mergeCell ref="B92:F92"/>
    <mergeCell ref="D103:G103"/>
    <mergeCell ref="D104:G104"/>
    <mergeCell ref="I104:J104"/>
    <mergeCell ref="D101:G101"/>
    <mergeCell ref="D102:G102"/>
    <mergeCell ref="A99:A100"/>
    <mergeCell ref="B99:B100"/>
    <mergeCell ref="C99:C100"/>
    <mergeCell ref="D99:J99"/>
    <mergeCell ref="D100:G100"/>
    <mergeCell ref="D105:G105"/>
    <mergeCell ref="D106:G106"/>
    <mergeCell ref="D113:G113"/>
    <mergeCell ref="D114:G114"/>
    <mergeCell ref="D109:G109"/>
    <mergeCell ref="D110:G110"/>
    <mergeCell ref="D111:G111"/>
    <mergeCell ref="D112:G112"/>
    <mergeCell ref="D107:G107"/>
    <mergeCell ref="D108:G108"/>
    <mergeCell ref="H107:J107"/>
    <mergeCell ref="H108:J108"/>
    <mergeCell ref="H109:J109"/>
    <mergeCell ref="H110:J110"/>
    <mergeCell ref="H115:J115"/>
    <mergeCell ref="D116:G116"/>
    <mergeCell ref="H113:J113"/>
    <mergeCell ref="D127:E127"/>
    <mergeCell ref="H120:J120"/>
    <mergeCell ref="D126:E126"/>
    <mergeCell ref="H121:J121"/>
    <mergeCell ref="H112:J112"/>
    <mergeCell ref="H114:J114"/>
    <mergeCell ref="A123:A124"/>
    <mergeCell ref="B123:B124"/>
    <mergeCell ref="C123:C124"/>
    <mergeCell ref="D119:G119"/>
    <mergeCell ref="D120:G120"/>
    <mergeCell ref="H116:J116"/>
    <mergeCell ref="D117:G117"/>
    <mergeCell ref="D118:G118"/>
    <mergeCell ref="H117:J117"/>
    <mergeCell ref="H118:J118"/>
    <mergeCell ref="D133:E133"/>
    <mergeCell ref="D132:E132"/>
    <mergeCell ref="D129:E129"/>
    <mergeCell ref="D130:E130"/>
    <mergeCell ref="D128:E128"/>
    <mergeCell ref="D131:E131"/>
    <mergeCell ref="L95:O95"/>
    <mergeCell ref="L93:O93"/>
    <mergeCell ref="L94:O94"/>
    <mergeCell ref="B93:F93"/>
    <mergeCell ref="G93:J93"/>
    <mergeCell ref="G94:J94"/>
    <mergeCell ref="G95:J95"/>
    <mergeCell ref="B94:F94"/>
    <mergeCell ref="B95:F95"/>
    <mergeCell ref="B75:J77"/>
    <mergeCell ref="D60:E60"/>
    <mergeCell ref="D124:E124"/>
    <mergeCell ref="D125:E125"/>
    <mergeCell ref="B96:F96"/>
    <mergeCell ref="H105:J105"/>
    <mergeCell ref="H106:J106"/>
    <mergeCell ref="H119:J119"/>
    <mergeCell ref="H111:J111"/>
    <mergeCell ref="H103:J103"/>
    <mergeCell ref="H23:J23"/>
    <mergeCell ref="H24:J24"/>
    <mergeCell ref="H25:J25"/>
    <mergeCell ref="H26:J26"/>
    <mergeCell ref="H27:J27"/>
    <mergeCell ref="H28:J28"/>
    <mergeCell ref="D61:E61"/>
    <mergeCell ref="D123:F123"/>
    <mergeCell ref="G123:H123"/>
    <mergeCell ref="I123:J123"/>
    <mergeCell ref="H100:J100"/>
    <mergeCell ref="H101:J101"/>
    <mergeCell ref="H102:J102"/>
    <mergeCell ref="G96:J96"/>
    <mergeCell ref="D121:G121"/>
    <mergeCell ref="D115:G115"/>
  </mergeCells>
  <printOptions horizontalCentered="1"/>
  <pageMargins left="0.2902777777777778" right="0.27569444444444446" top="0.6298611111111111" bottom="0.39375" header="0.5118055555555556" footer="0.5118055555555556"/>
  <pageSetup fitToHeight="0" fitToWidth="1" horizontalDpi="600" verticalDpi="600" orientation="portrait" paperSize="9" scale="64" r:id="rId2"/>
  <rowBreaks count="1" manualBreakCount="1">
    <brk id="67" max="255" man="1"/>
  </rowBreaks>
  <ignoredErrors>
    <ignoredError sqref="C56 C52 G61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L59"/>
  <sheetViews>
    <sheetView showGridLines="0" zoomScaleSheetLayoutView="100" zoomScalePageLayoutView="0" workbookViewId="0" topLeftCell="A7">
      <selection activeCell="J21" sqref="J21"/>
    </sheetView>
  </sheetViews>
  <sheetFormatPr defaultColWidth="7.8515625" defaultRowHeight="12.75"/>
  <cols>
    <col min="1" max="1" width="47.8515625" style="120" customWidth="1"/>
    <col min="2" max="2" width="10.28125" style="120" customWidth="1"/>
    <col min="3" max="3" width="14.421875" style="120" customWidth="1"/>
    <col min="4" max="4" width="14.57421875" style="182" customWidth="1"/>
    <col min="5" max="5" width="9.140625" style="182" customWidth="1"/>
    <col min="6" max="6" width="13.7109375" style="120" customWidth="1"/>
    <col min="7" max="7" width="9.421875" style="120" customWidth="1"/>
    <col min="8" max="8" width="0" style="121" hidden="1" customWidth="1"/>
    <col min="9" max="9" width="7.8515625" style="121" customWidth="1"/>
    <col min="10" max="10" width="13.57421875" style="121" bestFit="1" customWidth="1"/>
    <col min="11" max="11" width="11.28125" style="121" bestFit="1" customWidth="1"/>
    <col min="12" max="16384" width="7.8515625" style="121" customWidth="1"/>
  </cols>
  <sheetData>
    <row r="1" spans="1:9" ht="12.75" customHeight="1">
      <c r="A1" s="1586" t="s">
        <v>182</v>
      </c>
      <c r="B1" s="1586"/>
      <c r="C1" s="1586"/>
      <c r="D1" s="1586"/>
      <c r="E1" s="1586"/>
      <c r="F1" s="1586"/>
      <c r="G1" s="1586"/>
      <c r="H1" s="1586"/>
      <c r="I1" s="1586"/>
    </row>
    <row r="2" spans="1:9" ht="12.75" customHeight="1">
      <c r="A2" s="1586" t="s">
        <v>0</v>
      </c>
      <c r="B2" s="1586"/>
      <c r="C2" s="1586"/>
      <c r="D2" s="1586"/>
      <c r="E2" s="1586"/>
      <c r="F2" s="1586"/>
      <c r="G2" s="1586"/>
      <c r="H2" s="1586"/>
      <c r="I2" s="1586"/>
    </row>
    <row r="3" spans="1:9" ht="12.75" customHeight="1">
      <c r="A3" s="458" t="s">
        <v>297</v>
      </c>
      <c r="B3" s="459"/>
      <c r="C3" s="459"/>
      <c r="D3" s="459"/>
      <c r="E3" s="174" t="str">
        <f>'Anexo 4 _ PREVID '!G5</f>
        <v>Publicação: Diário Oficial do Município nº 140</v>
      </c>
      <c r="F3" s="610"/>
      <c r="G3" s="610"/>
      <c r="H3" s="224"/>
      <c r="I3" s="224"/>
    </row>
    <row r="4" spans="1:9" ht="12.75" customHeight="1">
      <c r="A4" s="460" t="s">
        <v>212</v>
      </c>
      <c r="B4" s="461"/>
      <c r="C4" s="461"/>
      <c r="D4" s="461"/>
      <c r="E4" s="226" t="str">
        <f>'Anexo 4 _ PREVID '!G6</f>
        <v>Data:30/07/2015</v>
      </c>
      <c r="F4" s="227"/>
      <c r="G4" s="227"/>
      <c r="H4" s="225"/>
      <c r="I4" s="225"/>
    </row>
    <row r="5" spans="1:12" s="231" customFormat="1" ht="15.75" customHeight="1">
      <c r="A5" s="1492" t="str">
        <f>'Anexo 1 _ BAL ORC'!A4:F4</f>
        <v>Referência: JANEIRO-JUNHO/2015; BIMESTRE: MAIO-JUNHO/2015</v>
      </c>
      <c r="B5" s="1492"/>
      <c r="C5" s="1492"/>
      <c r="D5" s="1492"/>
      <c r="E5" s="1492"/>
      <c r="F5" s="1492"/>
      <c r="G5" s="462"/>
      <c r="H5" s="228"/>
      <c r="I5" s="228"/>
      <c r="J5" s="228"/>
      <c r="K5" s="229"/>
      <c r="L5" s="230"/>
    </row>
    <row r="6" ht="11.25">
      <c r="F6" s="378"/>
    </row>
    <row r="7" spans="1:7" ht="11.25">
      <c r="A7" s="120" t="s">
        <v>652</v>
      </c>
      <c r="D7" s="456"/>
      <c r="G7" s="398"/>
    </row>
    <row r="8" spans="1:7" ht="19.5" customHeight="1">
      <c r="A8" s="1608" t="s">
        <v>184</v>
      </c>
      <c r="B8" s="1504" t="s">
        <v>298</v>
      </c>
      <c r="C8" s="1505"/>
      <c r="D8" s="1505"/>
      <c r="E8" s="1505"/>
      <c r="F8" s="1505"/>
      <c r="G8" s="1506"/>
    </row>
    <row r="9" spans="1:7" ht="19.5" customHeight="1">
      <c r="A9" s="1608"/>
      <c r="B9" s="1609" t="s">
        <v>845</v>
      </c>
      <c r="C9" s="1609"/>
      <c r="D9" s="1610" t="s">
        <v>560</v>
      </c>
      <c r="E9" s="1610"/>
      <c r="F9" s="1611" t="s">
        <v>102</v>
      </c>
      <c r="G9" s="1612"/>
    </row>
    <row r="10" spans="1:7" ht="19.5" customHeight="1">
      <c r="A10" s="1608"/>
      <c r="B10" s="1613" t="s">
        <v>105</v>
      </c>
      <c r="C10" s="1613"/>
      <c r="D10" s="1614" t="s">
        <v>106</v>
      </c>
      <c r="E10" s="1614"/>
      <c r="F10" s="1615" t="s">
        <v>299</v>
      </c>
      <c r="G10" s="1616"/>
    </row>
    <row r="11" spans="1:7" ht="19.5" customHeight="1">
      <c r="A11" s="1353" t="s">
        <v>300</v>
      </c>
      <c r="B11" s="1617">
        <v>375087755.97</v>
      </c>
      <c r="C11" s="1618"/>
      <c r="D11" s="1619">
        <v>375296342.96</v>
      </c>
      <c r="E11" s="1620"/>
      <c r="F11" s="1619">
        <v>489138690.92</v>
      </c>
      <c r="G11" s="1620"/>
    </row>
    <row r="12" spans="1:7" ht="19.5" customHeight="1">
      <c r="A12" s="1353" t="s">
        <v>206</v>
      </c>
      <c r="B12" s="1621">
        <v>0</v>
      </c>
      <c r="C12" s="1621"/>
      <c r="D12" s="1621">
        <v>0</v>
      </c>
      <c r="E12" s="1621"/>
      <c r="F12" s="1621">
        <v>0</v>
      </c>
      <c r="G12" s="1622"/>
    </row>
    <row r="13" spans="1:10" ht="19.5" customHeight="1">
      <c r="A13" s="1353" t="s">
        <v>506</v>
      </c>
      <c r="B13" s="1617">
        <v>239281579.26</v>
      </c>
      <c r="C13" s="1618"/>
      <c r="D13" s="1617">
        <f>510162125.1-190313783.44</f>
        <v>319848341.66</v>
      </c>
      <c r="E13" s="1618"/>
      <c r="F13" s="1617">
        <v>334530831.05</v>
      </c>
      <c r="G13" s="1618"/>
      <c r="J13" s="622"/>
    </row>
    <row r="14" spans="1:10" ht="19.5" customHeight="1">
      <c r="A14" s="1353" t="s">
        <v>301</v>
      </c>
      <c r="B14" s="1623">
        <v>0</v>
      </c>
      <c r="C14" s="1623"/>
      <c r="D14" s="1623">
        <v>0</v>
      </c>
      <c r="E14" s="1623"/>
      <c r="F14" s="1623">
        <v>0</v>
      </c>
      <c r="G14" s="1624"/>
      <c r="J14" s="580"/>
    </row>
    <row r="15" spans="1:7" ht="19.5" customHeight="1">
      <c r="A15" s="1353" t="s">
        <v>651</v>
      </c>
      <c r="B15" s="1617">
        <v>529029420.9</v>
      </c>
      <c r="C15" s="1618"/>
      <c r="D15" s="1617">
        <v>449993676.51</v>
      </c>
      <c r="E15" s="1618"/>
      <c r="F15" s="1617">
        <f>'Anexo 7 _  RP'!F60+'Anexo 7 _  RP'!I60-'Anexo 7 _  RP'!J60-F40</f>
        <v>431203353.72999996</v>
      </c>
      <c r="G15" s="1618"/>
    </row>
    <row r="16" spans="1:10" s="201" customFormat="1" ht="19.5" customHeight="1">
      <c r="A16" s="1353" t="s">
        <v>302</v>
      </c>
      <c r="B16" s="1617">
        <f>B11-B12</f>
        <v>375087755.97</v>
      </c>
      <c r="C16" s="1617"/>
      <c r="D16" s="1617">
        <f>D11-D12</f>
        <v>375296342.96</v>
      </c>
      <c r="E16" s="1617"/>
      <c r="F16" s="1617">
        <f>F11-F12</f>
        <v>489138690.92</v>
      </c>
      <c r="G16" s="1618"/>
      <c r="J16" s="201" t="s">
        <v>461</v>
      </c>
    </row>
    <row r="17" spans="1:7" ht="19.5" customHeight="1">
      <c r="A17" s="1353" t="s">
        <v>303</v>
      </c>
      <c r="B17" s="1623">
        <v>0</v>
      </c>
      <c r="C17" s="1623"/>
      <c r="D17" s="1623">
        <v>0</v>
      </c>
      <c r="E17" s="1623"/>
      <c r="F17" s="1623">
        <v>0</v>
      </c>
      <c r="G17" s="1624"/>
    </row>
    <row r="18" spans="1:7" ht="19.5" customHeight="1">
      <c r="A18" s="1353" t="s">
        <v>304</v>
      </c>
      <c r="B18" s="1617">
        <v>283855718.97</v>
      </c>
      <c r="C18" s="1618"/>
      <c r="D18" s="1617">
        <f>160766534.18-10354691.53</f>
        <v>150411842.65</v>
      </c>
      <c r="E18" s="1618"/>
      <c r="F18" s="1617">
        <v>273081059.97</v>
      </c>
      <c r="G18" s="1618"/>
    </row>
    <row r="19" spans="1:7" s="232" customFormat="1" ht="19.5" customHeight="1">
      <c r="A19" s="909" t="s">
        <v>305</v>
      </c>
      <c r="B19" s="1625">
        <f>B16+B17-B18</f>
        <v>91232037</v>
      </c>
      <c r="C19" s="1625"/>
      <c r="D19" s="1625">
        <f>D16+D17-D18</f>
        <v>224884500.30999997</v>
      </c>
      <c r="E19" s="1625"/>
      <c r="F19" s="1625">
        <f>F16+F17-F18</f>
        <v>216057630.95</v>
      </c>
      <c r="G19" s="1626"/>
    </row>
    <row r="20" spans="1:7" ht="11.25" customHeight="1">
      <c r="A20" s="236"/>
      <c r="B20" s="236"/>
      <c r="C20" s="1354"/>
      <c r="D20" s="236"/>
      <c r="E20" s="236"/>
      <c r="F20" s="236"/>
      <c r="G20" s="236"/>
    </row>
    <row r="21" spans="1:7" ht="19.5" customHeight="1">
      <c r="A21" s="1608" t="s">
        <v>184</v>
      </c>
      <c r="B21" s="1627" t="s">
        <v>272</v>
      </c>
      <c r="C21" s="1627"/>
      <c r="D21" s="1627"/>
      <c r="E21" s="1627"/>
      <c r="F21" s="1627"/>
      <c r="G21" s="1628"/>
    </row>
    <row r="22" spans="1:7" ht="19.5" customHeight="1">
      <c r="A22" s="1608"/>
      <c r="B22" s="1629" t="s">
        <v>102</v>
      </c>
      <c r="C22" s="1630"/>
      <c r="D22" s="1631"/>
      <c r="E22" s="383"/>
      <c r="F22" s="1375" t="s">
        <v>103</v>
      </c>
      <c r="G22" s="725"/>
    </row>
    <row r="23" spans="1:7" ht="19.5" customHeight="1">
      <c r="A23" s="1608"/>
      <c r="B23" s="1632" t="s">
        <v>306</v>
      </c>
      <c r="C23" s="1632"/>
      <c r="D23" s="1632"/>
      <c r="E23" s="1633" t="s">
        <v>307</v>
      </c>
      <c r="F23" s="1634"/>
      <c r="G23" s="1635"/>
    </row>
    <row r="24" spans="1:11" ht="19.5" customHeight="1">
      <c r="A24" s="909" t="s">
        <v>308</v>
      </c>
      <c r="B24" s="1636">
        <f>F19-D19</f>
        <v>-8826869.359999985</v>
      </c>
      <c r="C24" s="1636"/>
      <c r="D24" s="1636"/>
      <c r="E24" s="1637">
        <f>F19-B19</f>
        <v>124825593.94999999</v>
      </c>
      <c r="F24" s="1637"/>
      <c r="G24" s="1638"/>
      <c r="K24" s="580"/>
    </row>
    <row r="25" ht="9.75" customHeight="1">
      <c r="A25" s="236"/>
    </row>
    <row r="26" spans="1:7" ht="19.5" customHeight="1">
      <c r="A26" s="1639" t="s">
        <v>309</v>
      </c>
      <c r="B26" s="1640"/>
      <c r="C26" s="1640"/>
      <c r="D26" s="1640"/>
      <c r="E26" s="1641"/>
      <c r="F26" s="1645" t="s">
        <v>854</v>
      </c>
      <c r="G26" s="1646"/>
    </row>
    <row r="27" spans="1:7" ht="19.5" customHeight="1">
      <c r="A27" s="1642"/>
      <c r="B27" s="1643"/>
      <c r="C27" s="1643"/>
      <c r="D27" s="1643"/>
      <c r="E27" s="1644"/>
      <c r="F27" s="1647"/>
      <c r="G27" s="1648"/>
    </row>
    <row r="28" spans="1:7" ht="19.5" customHeight="1">
      <c r="A28" s="1649" t="s">
        <v>805</v>
      </c>
      <c r="B28" s="1650"/>
      <c r="C28" s="1650"/>
      <c r="D28" s="1650"/>
      <c r="E28" s="1651"/>
      <c r="F28" s="1655">
        <v>178316310</v>
      </c>
      <c r="G28" s="1656"/>
    </row>
    <row r="29" spans="1:7" ht="10.5" customHeight="1">
      <c r="A29" s="234"/>
      <c r="B29" s="235"/>
      <c r="C29" s="235"/>
      <c r="D29" s="464"/>
      <c r="E29" s="318"/>
      <c r="F29" s="192"/>
      <c r="G29" s="192"/>
    </row>
    <row r="30" spans="1:8" ht="19.5" customHeight="1">
      <c r="A30" s="910"/>
      <c r="B30" s="1652" t="s">
        <v>310</v>
      </c>
      <c r="C30" s="1653"/>
      <c r="D30" s="1653"/>
      <c r="E30" s="1653"/>
      <c r="F30" s="1653"/>
      <c r="G30" s="1654"/>
      <c r="H30" s="916"/>
    </row>
    <row r="31" spans="1:8" ht="19.5" customHeight="1">
      <c r="A31" s="911" t="s">
        <v>184</v>
      </c>
      <c r="B31" s="1657" t="s">
        <v>845</v>
      </c>
      <c r="C31" s="1657"/>
      <c r="D31" s="1657" t="s">
        <v>560</v>
      </c>
      <c r="E31" s="1657"/>
      <c r="F31" s="1611" t="s">
        <v>561</v>
      </c>
      <c r="G31" s="1612"/>
      <c r="H31" s="914"/>
    </row>
    <row r="32" spans="1:8" ht="19.5" customHeight="1">
      <c r="A32" s="912"/>
      <c r="B32" s="1658" t="s">
        <v>105</v>
      </c>
      <c r="C32" s="1658"/>
      <c r="D32" s="1658" t="s">
        <v>106</v>
      </c>
      <c r="E32" s="1658"/>
      <c r="F32" s="1615" t="s">
        <v>299</v>
      </c>
      <c r="G32" s="1616"/>
      <c r="H32" s="914"/>
    </row>
    <row r="33" spans="1:8" ht="19.5" customHeight="1">
      <c r="A33" s="913" t="s">
        <v>545</v>
      </c>
      <c r="B33" s="1659">
        <f>B34+B35</f>
        <v>119321378.48</v>
      </c>
      <c r="C33" s="1659"/>
      <c r="D33" s="1659">
        <f>D34+D35</f>
        <v>119321378.48</v>
      </c>
      <c r="E33" s="1659"/>
      <c r="F33" s="1660">
        <f>F34+F35</f>
        <v>173942843.82</v>
      </c>
      <c r="G33" s="1661"/>
      <c r="H33" s="914"/>
    </row>
    <row r="34" spans="1:8" ht="19.5" customHeight="1">
      <c r="A34" s="913" t="s">
        <v>542</v>
      </c>
      <c r="B34" s="1659">
        <v>119321378.48</v>
      </c>
      <c r="C34" s="1664"/>
      <c r="D34" s="1659">
        <v>119321378.48</v>
      </c>
      <c r="E34" s="1664"/>
      <c r="F34" s="1659">
        <v>173942843.82</v>
      </c>
      <c r="G34" s="1664"/>
      <c r="H34" s="914"/>
    </row>
    <row r="35" spans="1:8" ht="19.5" customHeight="1">
      <c r="A35" s="913" t="s">
        <v>543</v>
      </c>
      <c r="B35" s="1659">
        <v>0</v>
      </c>
      <c r="C35" s="1659"/>
      <c r="D35" s="1659">
        <v>0</v>
      </c>
      <c r="E35" s="1659"/>
      <c r="F35" s="1659">
        <v>0</v>
      </c>
      <c r="G35" s="1664"/>
      <c r="H35" s="914"/>
    </row>
    <row r="36" spans="1:8" s="201" customFormat="1" ht="19.5" customHeight="1">
      <c r="A36" s="1373" t="s">
        <v>546</v>
      </c>
      <c r="B36" s="1662">
        <f>B37+B38+B39-B40</f>
        <v>152524304.56</v>
      </c>
      <c r="C36" s="1662"/>
      <c r="D36" s="1662">
        <f>D37+D38+D39-D40</f>
        <v>190079937.25</v>
      </c>
      <c r="E36" s="1662"/>
      <c r="F36" s="1662">
        <f>F37+F38+F39-F40</f>
        <v>185735549.62</v>
      </c>
      <c r="G36" s="1663"/>
      <c r="H36" s="915"/>
    </row>
    <row r="37" spans="1:8" ht="19.5" customHeight="1">
      <c r="A37" s="913" t="s">
        <v>541</v>
      </c>
      <c r="B37" s="1659">
        <v>4794335.71</v>
      </c>
      <c r="C37" s="1664"/>
      <c r="D37" s="1659">
        <v>20646514.34</v>
      </c>
      <c r="E37" s="1664"/>
      <c r="F37" s="1659">
        <v>6919649.58</v>
      </c>
      <c r="G37" s="1664"/>
      <c r="H37" s="914"/>
    </row>
    <row r="38" spans="1:8" ht="19.5" customHeight="1">
      <c r="A38" s="913" t="s">
        <v>311</v>
      </c>
      <c r="B38" s="1659">
        <v>147860990.48</v>
      </c>
      <c r="C38" s="1665"/>
      <c r="D38" s="1659">
        <v>169667269.1</v>
      </c>
      <c r="E38" s="1665"/>
      <c r="F38" s="1659">
        <v>178865472.23</v>
      </c>
      <c r="G38" s="1665"/>
      <c r="H38" s="914"/>
    </row>
    <row r="39" spans="1:8" ht="19.5" customHeight="1">
      <c r="A39" s="913" t="s">
        <v>544</v>
      </c>
      <c r="B39" s="1659">
        <v>0</v>
      </c>
      <c r="C39" s="1659"/>
      <c r="D39" s="1659">
        <v>0</v>
      </c>
      <c r="E39" s="1659"/>
      <c r="F39" s="1659"/>
      <c r="G39" s="1664"/>
      <c r="H39" s="914"/>
    </row>
    <row r="40" spans="1:8" ht="19.5" customHeight="1">
      <c r="A40" s="913" t="s">
        <v>312</v>
      </c>
      <c r="B40" s="1659">
        <v>131021.63</v>
      </c>
      <c r="C40" s="1665"/>
      <c r="D40" s="1659">
        <f>56246.19+245402.28-67802.28</f>
        <v>233846.18999999997</v>
      </c>
      <c r="E40" s="1665"/>
      <c r="F40" s="1659">
        <v>49572.19</v>
      </c>
      <c r="G40" s="1665"/>
      <c r="H40" s="914"/>
    </row>
    <row r="41" spans="1:8" ht="19.5" customHeight="1">
      <c r="A41" s="913" t="s">
        <v>548</v>
      </c>
      <c r="B41" s="1659">
        <f>B33-B36</f>
        <v>-33202926.08</v>
      </c>
      <c r="C41" s="1668"/>
      <c r="D41" s="1659">
        <f>D33-D36</f>
        <v>-70758558.77</v>
      </c>
      <c r="E41" s="1668"/>
      <c r="F41" s="1659">
        <f>F33-F36</f>
        <v>-11792705.800000012</v>
      </c>
      <c r="G41" s="1665"/>
      <c r="H41" s="914"/>
    </row>
    <row r="42" spans="1:8" ht="19.5" customHeight="1">
      <c r="A42" s="913" t="s">
        <v>547</v>
      </c>
      <c r="B42" s="1670">
        <v>0</v>
      </c>
      <c r="C42" s="1671"/>
      <c r="D42" s="1670">
        <v>0</v>
      </c>
      <c r="E42" s="1671"/>
      <c r="F42" s="1670">
        <v>0</v>
      </c>
      <c r="G42" s="1672"/>
      <c r="H42" s="914"/>
    </row>
    <row r="43" spans="1:8" s="288" customFormat="1" ht="19.5" customHeight="1">
      <c r="A43" s="1371" t="s">
        <v>549</v>
      </c>
      <c r="B43" s="1666">
        <f>B41-B42</f>
        <v>-33202926.08</v>
      </c>
      <c r="C43" s="1666"/>
      <c r="D43" s="1666">
        <f>D41-D42</f>
        <v>-70758558.77</v>
      </c>
      <c r="E43" s="1666"/>
      <c r="F43" s="1666">
        <f>F41-F42</f>
        <v>-11792705.800000012</v>
      </c>
      <c r="G43" s="1667"/>
      <c r="H43" s="1372"/>
    </row>
    <row r="44" spans="1:11" ht="19.5" customHeight="1">
      <c r="A44" s="1273" t="str">
        <f>'Anexo 4 _ PREVID '!A134</f>
        <v>FONTE: SECRETARIA MUNICIPAL DA FAZENDA</v>
      </c>
      <c r="B44" s="1374"/>
      <c r="C44" s="1374"/>
      <c r="D44" s="1374"/>
      <c r="E44" s="1374"/>
      <c r="F44" s="1374"/>
      <c r="G44" s="1374"/>
      <c r="J44" s="1048"/>
      <c r="K44" s="1048"/>
    </row>
    <row r="45" spans="1:11" ht="19.5" customHeight="1">
      <c r="A45" s="226" t="str">
        <f>'Anexo 4 _ PREVID '!A136</f>
        <v>  São Luís, 30 de Julho de 2015</v>
      </c>
      <c r="B45" s="214"/>
      <c r="C45" s="214"/>
      <c r="D45" s="214"/>
      <c r="E45" s="214"/>
      <c r="F45" s="214"/>
      <c r="G45" s="214"/>
      <c r="J45" s="580"/>
      <c r="K45" s="580"/>
    </row>
    <row r="46" spans="1:8" ht="12.75">
      <c r="A46" s="156"/>
      <c r="B46" s="156"/>
      <c r="C46" s="157"/>
      <c r="D46" s="157"/>
      <c r="E46" s="157"/>
      <c r="F46" s="1013"/>
      <c r="G46" s="465"/>
      <c r="H46" s="237"/>
    </row>
    <row r="47" spans="1:8" ht="12.75">
      <c r="A47" s="156"/>
      <c r="B47" s="156"/>
      <c r="C47" s="157"/>
      <c r="D47" s="157"/>
      <c r="E47" s="157"/>
      <c r="F47" s="162"/>
      <c r="G47" s="465"/>
      <c r="H47" s="237"/>
    </row>
    <row r="48" spans="1:8" s="120" customFormat="1" ht="12.75">
      <c r="A48" s="112"/>
      <c r="B48" s="112"/>
      <c r="C48" s="112"/>
      <c r="D48" s="112"/>
      <c r="E48" s="112"/>
      <c r="F48" s="112"/>
      <c r="G48" s="112"/>
      <c r="H48" s="112"/>
    </row>
    <row r="49" spans="1:8" s="120" customFormat="1" ht="12.75">
      <c r="A49" s="238"/>
      <c r="B49" s="108"/>
      <c r="C49" s="108"/>
      <c r="D49" s="1669"/>
      <c r="E49" s="1669"/>
      <c r="F49" s="1669"/>
      <c r="H49" s="179"/>
    </row>
    <row r="50" spans="4:5" ht="11.25">
      <c r="D50" s="120"/>
      <c r="E50" s="120"/>
    </row>
    <row r="51" spans="4:5" ht="11.25">
      <c r="D51" s="120"/>
      <c r="E51" s="120"/>
    </row>
    <row r="52" spans="4:5" ht="11.25">
      <c r="D52" s="120"/>
      <c r="E52" s="120"/>
    </row>
    <row r="53" spans="4:5" ht="11.25">
      <c r="D53" s="120"/>
      <c r="E53" s="120"/>
    </row>
    <row r="54" spans="4:5" ht="11.25">
      <c r="D54" s="120"/>
      <c r="E54" s="120"/>
    </row>
    <row r="55" spans="4:5" ht="11.25">
      <c r="D55" s="120"/>
      <c r="E55" s="120"/>
    </row>
    <row r="56" spans="4:5" ht="11.25">
      <c r="D56" s="120"/>
      <c r="E56" s="120"/>
    </row>
    <row r="57" spans="4:5" ht="11.25">
      <c r="D57" s="120"/>
      <c r="E57" s="120"/>
    </row>
    <row r="58" spans="4:5" ht="11.25">
      <c r="D58" s="120"/>
      <c r="E58" s="120"/>
    </row>
    <row r="59" spans="4:5" ht="11.25">
      <c r="D59" s="120"/>
      <c r="E59" s="120"/>
    </row>
  </sheetData>
  <sheetProtection/>
  <mergeCells count="90">
    <mergeCell ref="B8:G8"/>
    <mergeCell ref="B41:C41"/>
    <mergeCell ref="D41:E41"/>
    <mergeCell ref="F41:G41"/>
    <mergeCell ref="D49:F49"/>
    <mergeCell ref="B42:C42"/>
    <mergeCell ref="D42:E42"/>
    <mergeCell ref="F42:G42"/>
    <mergeCell ref="B43:C43"/>
    <mergeCell ref="D43:E43"/>
    <mergeCell ref="F43:G43"/>
    <mergeCell ref="B39:C39"/>
    <mergeCell ref="D39:E39"/>
    <mergeCell ref="F39:G39"/>
    <mergeCell ref="B40:C40"/>
    <mergeCell ref="D40:E40"/>
    <mergeCell ref="F40:G40"/>
    <mergeCell ref="F34:G34"/>
    <mergeCell ref="F35:G35"/>
    <mergeCell ref="B37:C37"/>
    <mergeCell ref="D37:E37"/>
    <mergeCell ref="F37:G37"/>
    <mergeCell ref="B38:C38"/>
    <mergeCell ref="D38:E38"/>
    <mergeCell ref="F38:G38"/>
    <mergeCell ref="B33:C33"/>
    <mergeCell ref="D33:E33"/>
    <mergeCell ref="F33:G33"/>
    <mergeCell ref="B36:C36"/>
    <mergeCell ref="D36:E36"/>
    <mergeCell ref="F36:G36"/>
    <mergeCell ref="B34:C34"/>
    <mergeCell ref="B35:C35"/>
    <mergeCell ref="D34:E34"/>
    <mergeCell ref="D35:E35"/>
    <mergeCell ref="B31:C31"/>
    <mergeCell ref="D31:E31"/>
    <mergeCell ref="F31:G31"/>
    <mergeCell ref="B32:C32"/>
    <mergeCell ref="D32:E32"/>
    <mergeCell ref="F32:G32"/>
    <mergeCell ref="B24:D24"/>
    <mergeCell ref="E24:G24"/>
    <mergeCell ref="A26:E27"/>
    <mergeCell ref="F26:G27"/>
    <mergeCell ref="A28:E28"/>
    <mergeCell ref="B30:G30"/>
    <mergeCell ref="F28:G28"/>
    <mergeCell ref="B19:C19"/>
    <mergeCell ref="D19:E19"/>
    <mergeCell ref="F19:G19"/>
    <mergeCell ref="A21:A23"/>
    <mergeCell ref="B21:G21"/>
    <mergeCell ref="B22:D22"/>
    <mergeCell ref="B23:D23"/>
    <mergeCell ref="E23:G23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A1:I1"/>
    <mergeCell ref="A2:I2"/>
    <mergeCell ref="A5:F5"/>
    <mergeCell ref="A8:A10"/>
    <mergeCell ref="B9:C9"/>
    <mergeCell ref="D9:E9"/>
    <mergeCell ref="F9:G9"/>
    <mergeCell ref="B10:C10"/>
    <mergeCell ref="D10:E10"/>
    <mergeCell ref="F10:G10"/>
  </mergeCells>
  <printOptions horizontalCentered="1"/>
  <pageMargins left="0.5902777777777778" right="0.5902777777777778" top="0.5902777777777778" bottom="0.39305555555555555" header="0.5118055555555556" footer="0.19652777777777777"/>
  <pageSetup fitToHeight="1" fitToWidth="1" horizontalDpi="600" verticalDpi="600" orientation="portrait" paperSize="9" scale="77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  <pageSetUpPr fitToPage="1"/>
  </sheetPr>
  <dimension ref="A1:EX90"/>
  <sheetViews>
    <sheetView showGridLines="0" tabSelected="1" zoomScaleSheetLayoutView="90" zoomScalePageLayoutView="0" workbookViewId="0" topLeftCell="B1">
      <selection activeCell="T58" sqref="T58"/>
    </sheetView>
  </sheetViews>
  <sheetFormatPr defaultColWidth="7.8515625" defaultRowHeight="15" customHeight="1"/>
  <cols>
    <col min="1" max="1" width="49.57421875" style="240" customWidth="1"/>
    <col min="2" max="2" width="14.28125" style="240" customWidth="1"/>
    <col min="3" max="3" width="14.7109375" style="240" customWidth="1"/>
    <col min="4" max="5" width="14.140625" style="241" customWidth="1"/>
    <col min="6" max="13" width="7.8515625" style="240" hidden="1" customWidth="1"/>
    <col min="14" max="14" width="13.8515625" style="240" customWidth="1"/>
    <col min="15" max="15" width="13.57421875" style="259" customWidth="1"/>
    <col min="16" max="16" width="13.57421875" style="240" bestFit="1" customWidth="1"/>
    <col min="17" max="19" width="7.8515625" style="240" hidden="1" customWidth="1"/>
    <col min="20" max="20" width="18.7109375" style="240" bestFit="1" customWidth="1"/>
    <col min="21" max="22" width="17.7109375" style="240" bestFit="1" customWidth="1"/>
    <col min="23" max="23" width="10.57421875" style="240" bestFit="1" customWidth="1"/>
    <col min="24" max="16384" width="7.8515625" style="240" customWidth="1"/>
  </cols>
  <sheetData>
    <row r="1" spans="1:15" s="243" customFormat="1" ht="15" customHeight="1">
      <c r="A1" s="1737" t="s">
        <v>313</v>
      </c>
      <c r="B1" s="1737"/>
      <c r="C1" s="1737"/>
      <c r="D1" s="1737"/>
      <c r="E1" s="1737"/>
      <c r="O1" s="287"/>
    </row>
    <row r="2" spans="1:15" s="243" customFormat="1" ht="15" customHeight="1">
      <c r="A2" s="1737" t="s">
        <v>0</v>
      </c>
      <c r="B2" s="1737"/>
      <c r="C2" s="1737"/>
      <c r="D2" s="1737"/>
      <c r="E2" s="1737"/>
      <c r="O2" s="287"/>
    </row>
    <row r="3" spans="1:15" s="243" customFormat="1" ht="15" customHeight="1">
      <c r="A3" s="244" t="s">
        <v>314</v>
      </c>
      <c r="B3" s="245"/>
      <c r="C3" s="245"/>
      <c r="D3" s="596" t="str">
        <f>'Anexo 5 _ RES NOM'!E3</f>
        <v>Publicação: Diário Oficial do Município nº 140</v>
      </c>
      <c r="E3" s="174"/>
      <c r="O3" s="287"/>
    </row>
    <row r="4" spans="1:15" s="243" customFormat="1" ht="15" customHeight="1">
      <c r="A4" s="242" t="s">
        <v>2</v>
      </c>
      <c r="B4" s="246"/>
      <c r="C4" s="246"/>
      <c r="D4" s="227" t="str">
        <f>'Anexo 5 _ RES NOM'!E4</f>
        <v>Data:30/07/2015</v>
      </c>
      <c r="E4" s="174"/>
      <c r="O4" s="287"/>
    </row>
    <row r="5" spans="1:15" s="231" customFormat="1" ht="15.75" customHeight="1">
      <c r="A5" s="247" t="str">
        <f>'Anexo 5 _ RES NOM'!A5</f>
        <v>Referência: JANEIRO-JUNHO/2015; BIMESTRE: MAIO-JUNHO/2015</v>
      </c>
      <c r="B5" s="248"/>
      <c r="C5" s="248"/>
      <c r="D5" s="248"/>
      <c r="E5" s="823"/>
      <c r="O5" s="472"/>
    </row>
    <row r="6" spans="1:5" ht="15" customHeight="1">
      <c r="A6" s="249"/>
      <c r="B6" s="249"/>
      <c r="C6" s="249"/>
      <c r="D6" s="250"/>
      <c r="E6" s="1056"/>
    </row>
    <row r="7" spans="1:5" ht="15" customHeight="1">
      <c r="A7" s="251" t="s">
        <v>653</v>
      </c>
      <c r="B7" s="252"/>
      <c r="C7" s="252"/>
      <c r="D7" s="466"/>
      <c r="E7" s="1057"/>
    </row>
    <row r="8" spans="1:22" ht="15" customHeight="1">
      <c r="A8" s="1738" t="s">
        <v>315</v>
      </c>
      <c r="B8" s="1731" t="s">
        <v>316</v>
      </c>
      <c r="C8" s="1732"/>
      <c r="D8" s="1712" t="s">
        <v>216</v>
      </c>
      <c r="E8" s="1687"/>
      <c r="F8" s="1687"/>
      <c r="G8" s="1687"/>
      <c r="H8" s="1687"/>
      <c r="I8" s="1687"/>
      <c r="J8" s="1687"/>
      <c r="K8" s="1687"/>
      <c r="L8" s="1687"/>
      <c r="M8" s="1687"/>
      <c r="N8" s="1687"/>
      <c r="O8" s="1687"/>
      <c r="P8" s="1688"/>
      <c r="T8" s="535"/>
      <c r="V8" s="537"/>
    </row>
    <row r="9" spans="1:21" ht="15" customHeight="1">
      <c r="A9" s="1738"/>
      <c r="B9" s="1733"/>
      <c r="C9" s="1734"/>
      <c r="D9" s="1712" t="s">
        <v>103</v>
      </c>
      <c r="E9" s="1688"/>
      <c r="F9" s="1146"/>
      <c r="G9" s="1146"/>
      <c r="H9" s="1146"/>
      <c r="I9" s="1146"/>
      <c r="J9" s="1146"/>
      <c r="K9" s="1146"/>
      <c r="L9" s="1146"/>
      <c r="M9" s="1146"/>
      <c r="N9" s="1687" t="s">
        <v>855</v>
      </c>
      <c r="O9" s="1687"/>
      <c r="P9" s="1688"/>
      <c r="U9" s="535"/>
    </row>
    <row r="10" spans="1:21" ht="15" customHeight="1">
      <c r="A10" s="254" t="s">
        <v>317</v>
      </c>
      <c r="B10" s="1735">
        <f>B11+B17+B20+B23+B28</f>
        <v>2441854083.13</v>
      </c>
      <c r="C10" s="1736"/>
      <c r="D10" s="1710">
        <f>D11+D17+D20+D23+D28</f>
        <v>1152415949.4099998</v>
      </c>
      <c r="E10" s="1711"/>
      <c r="N10" s="1713">
        <f>N11+N17+N20+N23+N28</f>
        <v>1053533732.57</v>
      </c>
      <c r="O10" s="1714"/>
      <c r="P10" s="1715"/>
      <c r="T10" s="538"/>
      <c r="U10" s="537"/>
    </row>
    <row r="11" spans="1:20" ht="15" customHeight="1">
      <c r="A11" s="530" t="s">
        <v>553</v>
      </c>
      <c r="B11" s="1677">
        <f>B12+B13+B14+B15+B16</f>
        <v>652506865</v>
      </c>
      <c r="C11" s="1686"/>
      <c r="D11" s="1710">
        <f>D12+D13+D14+D15+D16</f>
        <v>299615330.79</v>
      </c>
      <c r="E11" s="1711"/>
      <c r="N11" s="1677">
        <f>N12+N13+N14+N15+N16</f>
        <v>247766236.67999998</v>
      </c>
      <c r="O11" s="1678"/>
      <c r="P11" s="1679"/>
      <c r="T11" s="535"/>
    </row>
    <row r="12" spans="1:154" s="386" customFormat="1" ht="15" customHeight="1">
      <c r="A12" s="255" t="s">
        <v>318</v>
      </c>
      <c r="B12" s="1680">
        <f>'Anexo 3 _ RCL'!Q12</f>
        <v>51278597</v>
      </c>
      <c r="C12" s="1685"/>
      <c r="D12" s="1701">
        <f>35880661.4-24199.43</f>
        <v>35856461.97</v>
      </c>
      <c r="E12" s="1702"/>
      <c r="N12" s="1680">
        <v>26203253.85</v>
      </c>
      <c r="O12" s="1681"/>
      <c r="P12" s="1682"/>
      <c r="Q12" s="714"/>
      <c r="R12" s="714"/>
      <c r="S12" s="714"/>
      <c r="T12" s="715"/>
      <c r="U12" s="715"/>
      <c r="V12" s="715"/>
      <c r="W12" s="714"/>
      <c r="X12" s="714"/>
      <c r="Y12" s="714"/>
      <c r="Z12" s="714"/>
      <c r="AA12" s="714"/>
      <c r="AB12" s="714"/>
      <c r="AC12" s="714"/>
      <c r="AD12" s="714"/>
      <c r="AE12" s="714"/>
      <c r="AF12" s="714"/>
      <c r="AG12" s="714"/>
      <c r="AH12" s="714"/>
      <c r="AI12" s="714"/>
      <c r="AJ12" s="714"/>
      <c r="AK12" s="714"/>
      <c r="AL12" s="714"/>
      <c r="AM12" s="714"/>
      <c r="AN12" s="714"/>
      <c r="AO12" s="714"/>
      <c r="AP12" s="714"/>
      <c r="AQ12" s="714"/>
      <c r="AR12" s="714"/>
      <c r="AS12" s="714"/>
      <c r="AT12" s="714"/>
      <c r="AU12" s="714"/>
      <c r="AV12" s="714"/>
      <c r="AW12" s="714"/>
      <c r="AX12" s="714"/>
      <c r="AY12" s="714"/>
      <c r="AZ12" s="714"/>
      <c r="BA12" s="714"/>
      <c r="BB12" s="714"/>
      <c r="BC12" s="714"/>
      <c r="BD12" s="714"/>
      <c r="BE12" s="714"/>
      <c r="BF12" s="714"/>
      <c r="BG12" s="714"/>
      <c r="BH12" s="714"/>
      <c r="BI12" s="714"/>
      <c r="BJ12" s="714"/>
      <c r="BK12" s="714"/>
      <c r="BL12" s="714"/>
      <c r="BM12" s="714"/>
      <c r="BN12" s="714"/>
      <c r="BO12" s="714"/>
      <c r="BP12" s="714"/>
      <c r="BQ12" s="714"/>
      <c r="BR12" s="714"/>
      <c r="BS12" s="714"/>
      <c r="BT12" s="714"/>
      <c r="BU12" s="714"/>
      <c r="BV12" s="714"/>
      <c r="BW12" s="714"/>
      <c r="BX12" s="714"/>
      <c r="BY12" s="714"/>
      <c r="BZ12" s="714"/>
      <c r="CA12" s="714"/>
      <c r="CB12" s="714"/>
      <c r="CC12" s="714"/>
      <c r="CD12" s="714"/>
      <c r="CE12" s="714"/>
      <c r="CF12" s="714"/>
      <c r="CG12" s="714"/>
      <c r="CH12" s="714"/>
      <c r="CI12" s="714"/>
      <c r="CJ12" s="714"/>
      <c r="CK12" s="714"/>
      <c r="CL12" s="714"/>
      <c r="CM12" s="714"/>
      <c r="CN12" s="714"/>
      <c r="CO12" s="714"/>
      <c r="CP12" s="714"/>
      <c r="CQ12" s="714"/>
      <c r="CR12" s="714"/>
      <c r="CS12" s="714"/>
      <c r="CT12" s="714"/>
      <c r="CU12" s="714"/>
      <c r="CV12" s="714"/>
      <c r="CW12" s="714"/>
      <c r="CX12" s="714"/>
      <c r="CY12" s="714"/>
      <c r="CZ12" s="714"/>
      <c r="DA12" s="714"/>
      <c r="DB12" s="714"/>
      <c r="DC12" s="714"/>
      <c r="DD12" s="714"/>
      <c r="DE12" s="714"/>
      <c r="DF12" s="714"/>
      <c r="DG12" s="714"/>
      <c r="DH12" s="714"/>
      <c r="DI12" s="714"/>
      <c r="DJ12" s="714"/>
      <c r="DK12" s="714"/>
      <c r="DL12" s="714"/>
      <c r="DM12" s="714"/>
      <c r="DN12" s="714"/>
      <c r="DO12" s="714"/>
      <c r="DP12" s="714"/>
      <c r="DQ12" s="714"/>
      <c r="DR12" s="714"/>
      <c r="DS12" s="714"/>
      <c r="DT12" s="714"/>
      <c r="DU12" s="714"/>
      <c r="DV12" s="714"/>
      <c r="DW12" s="714"/>
      <c r="DX12" s="714"/>
      <c r="DY12" s="714"/>
      <c r="DZ12" s="714"/>
      <c r="EA12" s="714"/>
      <c r="EB12" s="714"/>
      <c r="EC12" s="714"/>
      <c r="ED12" s="714"/>
      <c r="EE12" s="714"/>
      <c r="EF12" s="714"/>
      <c r="EG12" s="714"/>
      <c r="EH12" s="714"/>
      <c r="EI12" s="714"/>
      <c r="EJ12" s="714"/>
      <c r="EK12" s="714"/>
      <c r="EL12" s="714"/>
      <c r="EM12" s="714"/>
      <c r="EN12" s="714"/>
      <c r="EO12" s="714"/>
      <c r="EP12" s="714"/>
      <c r="EQ12" s="714"/>
      <c r="ER12" s="714"/>
      <c r="ES12" s="714"/>
      <c r="ET12" s="714"/>
      <c r="EU12" s="714"/>
      <c r="EV12" s="714"/>
      <c r="EW12" s="714"/>
      <c r="EX12" s="714"/>
    </row>
    <row r="13" spans="1:154" s="386" customFormat="1" ht="15" customHeight="1">
      <c r="A13" s="255" t="s">
        <v>319</v>
      </c>
      <c r="B13" s="1680">
        <f>'Anexo 3 _ RCL'!Q13</f>
        <v>509804371</v>
      </c>
      <c r="C13" s="1685"/>
      <c r="D13" s="1701">
        <f>210219004.38-90488.08</f>
        <v>210128516.29999998</v>
      </c>
      <c r="E13" s="1702"/>
      <c r="N13" s="1680">
        <v>184299785.19</v>
      </c>
      <c r="O13" s="1681"/>
      <c r="P13" s="1682"/>
      <c r="Q13" s="714"/>
      <c r="R13" s="714"/>
      <c r="S13" s="714"/>
      <c r="T13" s="715"/>
      <c r="U13" s="714"/>
      <c r="V13" s="714"/>
      <c r="W13" s="714"/>
      <c r="X13" s="714"/>
      <c r="Y13" s="714"/>
      <c r="Z13" s="714"/>
      <c r="AA13" s="714"/>
      <c r="AB13" s="714"/>
      <c r="AC13" s="714"/>
      <c r="AD13" s="714"/>
      <c r="AE13" s="714"/>
      <c r="AF13" s="714"/>
      <c r="AG13" s="714"/>
      <c r="AH13" s="714"/>
      <c r="AI13" s="714"/>
      <c r="AJ13" s="714"/>
      <c r="AK13" s="714"/>
      <c r="AL13" s="714"/>
      <c r="AM13" s="714"/>
      <c r="AN13" s="714"/>
      <c r="AO13" s="714"/>
      <c r="AP13" s="714"/>
      <c r="AQ13" s="714"/>
      <c r="AR13" s="714"/>
      <c r="AS13" s="714"/>
      <c r="AT13" s="714"/>
      <c r="AU13" s="714"/>
      <c r="AV13" s="714"/>
      <c r="AW13" s="714"/>
      <c r="AX13" s="714"/>
      <c r="AY13" s="714"/>
      <c r="AZ13" s="714"/>
      <c r="BA13" s="714"/>
      <c r="BB13" s="714"/>
      <c r="BC13" s="714"/>
      <c r="BD13" s="714"/>
      <c r="BE13" s="714"/>
      <c r="BF13" s="714"/>
      <c r="BG13" s="714"/>
      <c r="BH13" s="714"/>
      <c r="BI13" s="714"/>
      <c r="BJ13" s="714"/>
      <c r="BK13" s="714"/>
      <c r="BL13" s="714"/>
      <c r="BM13" s="714"/>
      <c r="BN13" s="714"/>
      <c r="BO13" s="714"/>
      <c r="BP13" s="714"/>
      <c r="BQ13" s="714"/>
      <c r="BR13" s="714"/>
      <c r="BS13" s="714"/>
      <c r="BT13" s="714"/>
      <c r="BU13" s="714"/>
      <c r="BV13" s="714"/>
      <c r="BW13" s="714"/>
      <c r="BX13" s="714"/>
      <c r="BY13" s="714"/>
      <c r="BZ13" s="714"/>
      <c r="CA13" s="714"/>
      <c r="CB13" s="714"/>
      <c r="CC13" s="714"/>
      <c r="CD13" s="714"/>
      <c r="CE13" s="714"/>
      <c r="CF13" s="714"/>
      <c r="CG13" s="714"/>
      <c r="CH13" s="714"/>
      <c r="CI13" s="714"/>
      <c r="CJ13" s="714"/>
      <c r="CK13" s="714"/>
      <c r="CL13" s="714"/>
      <c r="CM13" s="714"/>
      <c r="CN13" s="714"/>
      <c r="CO13" s="714"/>
      <c r="CP13" s="714"/>
      <c r="CQ13" s="714"/>
      <c r="CR13" s="714"/>
      <c r="CS13" s="714"/>
      <c r="CT13" s="714"/>
      <c r="CU13" s="714"/>
      <c r="CV13" s="714"/>
      <c r="CW13" s="714"/>
      <c r="CX13" s="714"/>
      <c r="CY13" s="714"/>
      <c r="CZ13" s="714"/>
      <c r="DA13" s="714"/>
      <c r="DB13" s="714"/>
      <c r="DC13" s="714"/>
      <c r="DD13" s="714"/>
      <c r="DE13" s="714"/>
      <c r="DF13" s="714"/>
      <c r="DG13" s="714"/>
      <c r="DH13" s="714"/>
      <c r="DI13" s="714"/>
      <c r="DJ13" s="714"/>
      <c r="DK13" s="714"/>
      <c r="DL13" s="714"/>
      <c r="DM13" s="714"/>
      <c r="DN13" s="714"/>
      <c r="DO13" s="714"/>
      <c r="DP13" s="714"/>
      <c r="DQ13" s="714"/>
      <c r="DR13" s="714"/>
      <c r="DS13" s="714"/>
      <c r="DT13" s="714"/>
      <c r="DU13" s="714"/>
      <c r="DV13" s="714"/>
      <c r="DW13" s="714"/>
      <c r="DX13" s="714"/>
      <c r="DY13" s="714"/>
      <c r="DZ13" s="714"/>
      <c r="EA13" s="714"/>
      <c r="EB13" s="714"/>
      <c r="EC13" s="714"/>
      <c r="ED13" s="714"/>
      <c r="EE13" s="714"/>
      <c r="EF13" s="714"/>
      <c r="EG13" s="714"/>
      <c r="EH13" s="714"/>
      <c r="EI13" s="714"/>
      <c r="EJ13" s="714"/>
      <c r="EK13" s="714"/>
      <c r="EL13" s="714"/>
      <c r="EM13" s="714"/>
      <c r="EN13" s="714"/>
      <c r="EO13" s="714"/>
      <c r="EP13" s="714"/>
      <c r="EQ13" s="714"/>
      <c r="ER13" s="714"/>
      <c r="ES13" s="714"/>
      <c r="ET13" s="714"/>
      <c r="EU13" s="714"/>
      <c r="EV13" s="714"/>
      <c r="EW13" s="714"/>
      <c r="EX13" s="714"/>
    </row>
    <row r="14" spans="1:154" s="386" customFormat="1" ht="15" customHeight="1">
      <c r="A14" s="255" t="s">
        <v>320</v>
      </c>
      <c r="B14" s="1680">
        <f>'Anexo 3 _ RCL'!Q14</f>
        <v>30629116</v>
      </c>
      <c r="C14" s="1685"/>
      <c r="D14" s="1701">
        <f>14647505.1-25165.65</f>
        <v>14622339.45</v>
      </c>
      <c r="E14" s="1702"/>
      <c r="N14" s="1680">
        <v>12106611.87</v>
      </c>
      <c r="O14" s="1681"/>
      <c r="P14" s="1682"/>
      <c r="Q14" s="714"/>
      <c r="R14" s="714"/>
      <c r="S14" s="714"/>
      <c r="T14" s="716"/>
      <c r="U14" s="714"/>
      <c r="V14" s="715"/>
      <c r="W14" s="714"/>
      <c r="X14" s="714"/>
      <c r="Y14" s="714"/>
      <c r="Z14" s="714"/>
      <c r="AA14" s="714"/>
      <c r="AB14" s="714"/>
      <c r="AC14" s="714"/>
      <c r="AD14" s="714"/>
      <c r="AE14" s="714"/>
      <c r="AF14" s="714"/>
      <c r="AG14" s="714"/>
      <c r="AH14" s="714"/>
      <c r="AI14" s="714"/>
      <c r="AJ14" s="714"/>
      <c r="AK14" s="714"/>
      <c r="AL14" s="714"/>
      <c r="AM14" s="714"/>
      <c r="AN14" s="714"/>
      <c r="AO14" s="714"/>
      <c r="AP14" s="714"/>
      <c r="AQ14" s="714"/>
      <c r="AR14" s="714"/>
      <c r="AS14" s="714"/>
      <c r="AT14" s="714"/>
      <c r="AU14" s="714"/>
      <c r="AV14" s="714"/>
      <c r="AW14" s="714"/>
      <c r="AX14" s="714"/>
      <c r="AY14" s="714"/>
      <c r="AZ14" s="714"/>
      <c r="BA14" s="714"/>
      <c r="BB14" s="714"/>
      <c r="BC14" s="714"/>
      <c r="BD14" s="714"/>
      <c r="BE14" s="714"/>
      <c r="BF14" s="714"/>
      <c r="BG14" s="714"/>
      <c r="BH14" s="714"/>
      <c r="BI14" s="714"/>
      <c r="BJ14" s="714"/>
      <c r="BK14" s="714"/>
      <c r="BL14" s="714"/>
      <c r="BM14" s="714"/>
      <c r="BN14" s="714"/>
      <c r="BO14" s="714"/>
      <c r="BP14" s="714"/>
      <c r="BQ14" s="714"/>
      <c r="BR14" s="714"/>
      <c r="BS14" s="714"/>
      <c r="BT14" s="714"/>
      <c r="BU14" s="714"/>
      <c r="BV14" s="714"/>
      <c r="BW14" s="714"/>
      <c r="BX14" s="714"/>
      <c r="BY14" s="714"/>
      <c r="BZ14" s="714"/>
      <c r="CA14" s="714"/>
      <c r="CB14" s="714"/>
      <c r="CC14" s="714"/>
      <c r="CD14" s="714"/>
      <c r="CE14" s="714"/>
      <c r="CF14" s="714"/>
      <c r="CG14" s="714"/>
      <c r="CH14" s="714"/>
      <c r="CI14" s="714"/>
      <c r="CJ14" s="714"/>
      <c r="CK14" s="714"/>
      <c r="CL14" s="714"/>
      <c r="CM14" s="714"/>
      <c r="CN14" s="714"/>
      <c r="CO14" s="714"/>
      <c r="CP14" s="714"/>
      <c r="CQ14" s="714"/>
      <c r="CR14" s="714"/>
      <c r="CS14" s="714"/>
      <c r="CT14" s="714"/>
      <c r="CU14" s="714"/>
      <c r="CV14" s="714"/>
      <c r="CW14" s="714"/>
      <c r="CX14" s="714"/>
      <c r="CY14" s="714"/>
      <c r="CZ14" s="714"/>
      <c r="DA14" s="714"/>
      <c r="DB14" s="714"/>
      <c r="DC14" s="714"/>
      <c r="DD14" s="714"/>
      <c r="DE14" s="714"/>
      <c r="DF14" s="714"/>
      <c r="DG14" s="714"/>
      <c r="DH14" s="714"/>
      <c r="DI14" s="714"/>
      <c r="DJ14" s="714"/>
      <c r="DK14" s="714"/>
      <c r="DL14" s="714"/>
      <c r="DM14" s="714"/>
      <c r="DN14" s="714"/>
      <c r="DO14" s="714"/>
      <c r="DP14" s="714"/>
      <c r="DQ14" s="714"/>
      <c r="DR14" s="714"/>
      <c r="DS14" s="714"/>
      <c r="DT14" s="714"/>
      <c r="DU14" s="714"/>
      <c r="DV14" s="714"/>
      <c r="DW14" s="714"/>
      <c r="DX14" s="714"/>
      <c r="DY14" s="714"/>
      <c r="DZ14" s="714"/>
      <c r="EA14" s="714"/>
      <c r="EB14" s="714"/>
      <c r="EC14" s="714"/>
      <c r="ED14" s="714"/>
      <c r="EE14" s="714"/>
      <c r="EF14" s="714"/>
      <c r="EG14" s="714"/>
      <c r="EH14" s="714"/>
      <c r="EI14" s="714"/>
      <c r="EJ14" s="714"/>
      <c r="EK14" s="714"/>
      <c r="EL14" s="714"/>
      <c r="EM14" s="714"/>
      <c r="EN14" s="714"/>
      <c r="EO14" s="714"/>
      <c r="EP14" s="714"/>
      <c r="EQ14" s="714"/>
      <c r="ER14" s="714"/>
      <c r="ES14" s="714"/>
      <c r="ET14" s="714"/>
      <c r="EU14" s="714"/>
      <c r="EV14" s="714"/>
      <c r="EW14" s="714"/>
      <c r="EX14" s="714"/>
    </row>
    <row r="15" spans="1:154" s="386" customFormat="1" ht="15" customHeight="1">
      <c r="A15" s="255" t="s">
        <v>321</v>
      </c>
      <c r="B15" s="1680">
        <f>'Anexo 3 _ RCL'!Q15</f>
        <v>43270749</v>
      </c>
      <c r="C15" s="1685"/>
      <c r="D15" s="1701">
        <f>28676766.14-4409.29</f>
        <v>28672356.85</v>
      </c>
      <c r="E15" s="1702"/>
      <c r="N15" s="1680">
        <v>16035206.82</v>
      </c>
      <c r="O15" s="1681"/>
      <c r="P15" s="1682"/>
      <c r="Q15" s="714"/>
      <c r="R15" s="714"/>
      <c r="S15" s="714"/>
      <c r="T15" s="717"/>
      <c r="U15" s="714"/>
      <c r="V15" s="715"/>
      <c r="W15" s="714"/>
      <c r="X15" s="714"/>
      <c r="Y15" s="714"/>
      <c r="Z15" s="714"/>
      <c r="AA15" s="714"/>
      <c r="AB15" s="714"/>
      <c r="AC15" s="714"/>
      <c r="AD15" s="714"/>
      <c r="AE15" s="714"/>
      <c r="AF15" s="714"/>
      <c r="AG15" s="714"/>
      <c r="AH15" s="714"/>
      <c r="AI15" s="714"/>
      <c r="AJ15" s="714"/>
      <c r="AK15" s="714"/>
      <c r="AL15" s="714"/>
      <c r="AM15" s="714"/>
      <c r="AN15" s="714"/>
      <c r="AO15" s="714"/>
      <c r="AP15" s="714"/>
      <c r="AQ15" s="714"/>
      <c r="AR15" s="714"/>
      <c r="AS15" s="714"/>
      <c r="AT15" s="714"/>
      <c r="AU15" s="714"/>
      <c r="AV15" s="714"/>
      <c r="AW15" s="714"/>
      <c r="AX15" s="714"/>
      <c r="AY15" s="714"/>
      <c r="AZ15" s="714"/>
      <c r="BA15" s="714"/>
      <c r="BB15" s="714"/>
      <c r="BC15" s="714"/>
      <c r="BD15" s="714"/>
      <c r="BE15" s="714"/>
      <c r="BF15" s="714"/>
      <c r="BG15" s="714"/>
      <c r="BH15" s="714"/>
      <c r="BI15" s="714"/>
      <c r="BJ15" s="714"/>
      <c r="BK15" s="714"/>
      <c r="BL15" s="714"/>
      <c r="BM15" s="714"/>
      <c r="BN15" s="714"/>
      <c r="BO15" s="714"/>
      <c r="BP15" s="714"/>
      <c r="BQ15" s="714"/>
      <c r="BR15" s="714"/>
      <c r="BS15" s="714"/>
      <c r="BT15" s="714"/>
      <c r="BU15" s="714"/>
      <c r="BV15" s="714"/>
      <c r="BW15" s="714"/>
      <c r="BX15" s="714"/>
      <c r="BY15" s="714"/>
      <c r="BZ15" s="714"/>
      <c r="CA15" s="714"/>
      <c r="CB15" s="714"/>
      <c r="CC15" s="714"/>
      <c r="CD15" s="714"/>
      <c r="CE15" s="714"/>
      <c r="CF15" s="714"/>
      <c r="CG15" s="714"/>
      <c r="CH15" s="714"/>
      <c r="CI15" s="714"/>
      <c r="CJ15" s="714"/>
      <c r="CK15" s="714"/>
      <c r="CL15" s="714"/>
      <c r="CM15" s="714"/>
      <c r="CN15" s="714"/>
      <c r="CO15" s="714"/>
      <c r="CP15" s="714"/>
      <c r="CQ15" s="714"/>
      <c r="CR15" s="714"/>
      <c r="CS15" s="714"/>
      <c r="CT15" s="714"/>
      <c r="CU15" s="714"/>
      <c r="CV15" s="714"/>
      <c r="CW15" s="714"/>
      <c r="CX15" s="714"/>
      <c r="CY15" s="714"/>
      <c r="CZ15" s="714"/>
      <c r="DA15" s="714"/>
      <c r="DB15" s="714"/>
      <c r="DC15" s="714"/>
      <c r="DD15" s="714"/>
      <c r="DE15" s="714"/>
      <c r="DF15" s="714"/>
      <c r="DG15" s="714"/>
      <c r="DH15" s="714"/>
      <c r="DI15" s="714"/>
      <c r="DJ15" s="714"/>
      <c r="DK15" s="714"/>
      <c r="DL15" s="714"/>
      <c r="DM15" s="714"/>
      <c r="DN15" s="714"/>
      <c r="DO15" s="714"/>
      <c r="DP15" s="714"/>
      <c r="DQ15" s="714"/>
      <c r="DR15" s="714"/>
      <c r="DS15" s="714"/>
      <c r="DT15" s="714"/>
      <c r="DU15" s="714"/>
      <c r="DV15" s="714"/>
      <c r="DW15" s="714"/>
      <c r="DX15" s="714"/>
      <c r="DY15" s="714"/>
      <c r="DZ15" s="714"/>
      <c r="EA15" s="714"/>
      <c r="EB15" s="714"/>
      <c r="EC15" s="714"/>
      <c r="ED15" s="714"/>
      <c r="EE15" s="714"/>
      <c r="EF15" s="714"/>
      <c r="EG15" s="714"/>
      <c r="EH15" s="714"/>
      <c r="EI15" s="714"/>
      <c r="EJ15" s="714"/>
      <c r="EK15" s="714"/>
      <c r="EL15" s="714"/>
      <c r="EM15" s="714"/>
      <c r="EN15" s="714"/>
      <c r="EO15" s="714"/>
      <c r="EP15" s="714"/>
      <c r="EQ15" s="714"/>
      <c r="ER15" s="714"/>
      <c r="ES15" s="714"/>
      <c r="ET15" s="714"/>
      <c r="EU15" s="714"/>
      <c r="EV15" s="714"/>
      <c r="EW15" s="714"/>
      <c r="EX15" s="714"/>
    </row>
    <row r="16" spans="1:154" s="386" customFormat="1" ht="15" customHeight="1">
      <c r="A16" s="255" t="s">
        <v>322</v>
      </c>
      <c r="B16" s="1680">
        <f>'Anexo 3 _ RCL'!Q16</f>
        <v>17524032</v>
      </c>
      <c r="C16" s="1685"/>
      <c r="D16" s="1708">
        <f>299835775.32-289279674.57-220444.53</f>
        <v>10335656.22</v>
      </c>
      <c r="E16" s="1709"/>
      <c r="N16" s="1680">
        <v>9121378.95</v>
      </c>
      <c r="O16" s="1681"/>
      <c r="P16" s="1682"/>
      <c r="Q16" s="714"/>
      <c r="R16" s="714"/>
      <c r="S16" s="714"/>
      <c r="T16" s="714"/>
      <c r="U16" s="718"/>
      <c r="V16" s="714"/>
      <c r="W16" s="714"/>
      <c r="X16" s="714"/>
      <c r="Y16" s="714"/>
      <c r="Z16" s="714"/>
      <c r="AA16" s="714"/>
      <c r="AB16" s="714"/>
      <c r="AC16" s="714"/>
      <c r="AD16" s="714"/>
      <c r="AE16" s="714"/>
      <c r="AF16" s="714"/>
      <c r="AG16" s="714"/>
      <c r="AH16" s="714"/>
      <c r="AI16" s="714"/>
      <c r="AJ16" s="714"/>
      <c r="AK16" s="714"/>
      <c r="AL16" s="714"/>
      <c r="AM16" s="714"/>
      <c r="AN16" s="714"/>
      <c r="AO16" s="714"/>
      <c r="AP16" s="714"/>
      <c r="AQ16" s="714"/>
      <c r="AR16" s="714"/>
      <c r="AS16" s="714"/>
      <c r="AT16" s="714"/>
      <c r="AU16" s="714"/>
      <c r="AV16" s="714"/>
      <c r="AW16" s="714"/>
      <c r="AX16" s="714"/>
      <c r="AY16" s="714"/>
      <c r="AZ16" s="714"/>
      <c r="BA16" s="714"/>
      <c r="BB16" s="714"/>
      <c r="BC16" s="714"/>
      <c r="BD16" s="714"/>
      <c r="BE16" s="714"/>
      <c r="BF16" s="714"/>
      <c r="BG16" s="714"/>
      <c r="BH16" s="714"/>
      <c r="BI16" s="714"/>
      <c r="BJ16" s="714"/>
      <c r="BK16" s="714"/>
      <c r="BL16" s="714"/>
      <c r="BM16" s="714"/>
      <c r="BN16" s="714"/>
      <c r="BO16" s="714"/>
      <c r="BP16" s="714"/>
      <c r="BQ16" s="714"/>
      <c r="BR16" s="714"/>
      <c r="BS16" s="714"/>
      <c r="BT16" s="714"/>
      <c r="BU16" s="714"/>
      <c r="BV16" s="714"/>
      <c r="BW16" s="714"/>
      <c r="BX16" s="714"/>
      <c r="BY16" s="714"/>
      <c r="BZ16" s="714"/>
      <c r="CA16" s="714"/>
      <c r="CB16" s="714"/>
      <c r="CC16" s="714"/>
      <c r="CD16" s="714"/>
      <c r="CE16" s="714"/>
      <c r="CF16" s="714"/>
      <c r="CG16" s="714"/>
      <c r="CH16" s="714"/>
      <c r="CI16" s="714"/>
      <c r="CJ16" s="714"/>
      <c r="CK16" s="714"/>
      <c r="CL16" s="714"/>
      <c r="CM16" s="714"/>
      <c r="CN16" s="714"/>
      <c r="CO16" s="714"/>
      <c r="CP16" s="714"/>
      <c r="CQ16" s="714"/>
      <c r="CR16" s="714"/>
      <c r="CS16" s="714"/>
      <c r="CT16" s="714"/>
      <c r="CU16" s="714"/>
      <c r="CV16" s="714"/>
      <c r="CW16" s="714"/>
      <c r="CX16" s="714"/>
      <c r="CY16" s="714"/>
      <c r="CZ16" s="714"/>
      <c r="DA16" s="714"/>
      <c r="DB16" s="714"/>
      <c r="DC16" s="714"/>
      <c r="DD16" s="714"/>
      <c r="DE16" s="714"/>
      <c r="DF16" s="714"/>
      <c r="DG16" s="714"/>
      <c r="DH16" s="714"/>
      <c r="DI16" s="714"/>
      <c r="DJ16" s="714"/>
      <c r="DK16" s="714"/>
      <c r="DL16" s="714"/>
      <c r="DM16" s="714"/>
      <c r="DN16" s="714"/>
      <c r="DO16" s="714"/>
      <c r="DP16" s="714"/>
      <c r="DQ16" s="714"/>
      <c r="DR16" s="714"/>
      <c r="DS16" s="714"/>
      <c r="DT16" s="714"/>
      <c r="DU16" s="714"/>
      <c r="DV16" s="714"/>
      <c r="DW16" s="714"/>
      <c r="DX16" s="714"/>
      <c r="DY16" s="714"/>
      <c r="DZ16" s="714"/>
      <c r="EA16" s="714"/>
      <c r="EB16" s="714"/>
      <c r="EC16" s="714"/>
      <c r="ED16" s="714"/>
      <c r="EE16" s="714"/>
      <c r="EF16" s="714"/>
      <c r="EG16" s="714"/>
      <c r="EH16" s="714"/>
      <c r="EI16" s="714"/>
      <c r="EJ16" s="714"/>
      <c r="EK16" s="714"/>
      <c r="EL16" s="714"/>
      <c r="EM16" s="714"/>
      <c r="EN16" s="714"/>
      <c r="EO16" s="714"/>
      <c r="EP16" s="714"/>
      <c r="EQ16" s="714"/>
      <c r="ER16" s="714"/>
      <c r="ES16" s="714"/>
      <c r="ET16" s="714"/>
      <c r="EU16" s="714"/>
      <c r="EV16" s="714"/>
      <c r="EW16" s="714"/>
      <c r="EX16" s="714"/>
    </row>
    <row r="17" spans="1:154" ht="15" customHeight="1">
      <c r="A17" s="530" t="s">
        <v>554</v>
      </c>
      <c r="B17" s="1677">
        <f>B18+B19</f>
        <v>137827629</v>
      </c>
      <c r="C17" s="1686"/>
      <c r="D17" s="1710">
        <f>D18+D19</f>
        <v>69330338.08000001</v>
      </c>
      <c r="E17" s="1711"/>
      <c r="N17" s="1677">
        <f>N18+N19</f>
        <v>63172203.04</v>
      </c>
      <c r="O17" s="1678"/>
      <c r="P17" s="1679"/>
      <c r="Q17" s="714"/>
      <c r="R17" s="714"/>
      <c r="S17" s="714"/>
      <c r="T17" s="714"/>
      <c r="U17" s="715"/>
      <c r="V17" s="714"/>
      <c r="W17" s="714"/>
      <c r="X17" s="714"/>
      <c r="Y17" s="714"/>
      <c r="Z17" s="714"/>
      <c r="AA17" s="714"/>
      <c r="AB17" s="714"/>
      <c r="AC17" s="714"/>
      <c r="AD17" s="714"/>
      <c r="AE17" s="714"/>
      <c r="AF17" s="714"/>
      <c r="AG17" s="714"/>
      <c r="AH17" s="714"/>
      <c r="AI17" s="714"/>
      <c r="AJ17" s="714"/>
      <c r="AK17" s="714"/>
      <c r="AL17" s="714"/>
      <c r="AM17" s="714"/>
      <c r="AN17" s="714"/>
      <c r="AO17" s="714"/>
      <c r="AP17" s="714"/>
      <c r="AQ17" s="714"/>
      <c r="AR17" s="714"/>
      <c r="AS17" s="714"/>
      <c r="AT17" s="714"/>
      <c r="AU17" s="714"/>
      <c r="AV17" s="714"/>
      <c r="AW17" s="714"/>
      <c r="AX17" s="714"/>
      <c r="AY17" s="714"/>
      <c r="AZ17" s="714"/>
      <c r="BA17" s="714"/>
      <c r="BB17" s="714"/>
      <c r="BC17" s="714"/>
      <c r="BD17" s="714"/>
      <c r="BE17" s="714"/>
      <c r="BF17" s="714"/>
      <c r="BG17" s="714"/>
      <c r="BH17" s="714"/>
      <c r="BI17" s="714"/>
      <c r="BJ17" s="714"/>
      <c r="BK17" s="714"/>
      <c r="BL17" s="714"/>
      <c r="BM17" s="714"/>
      <c r="BN17" s="714"/>
      <c r="BO17" s="714"/>
      <c r="BP17" s="714"/>
      <c r="BQ17" s="714"/>
      <c r="BR17" s="714"/>
      <c r="BS17" s="714"/>
      <c r="BT17" s="714"/>
      <c r="BU17" s="714"/>
      <c r="BV17" s="714"/>
      <c r="BW17" s="714"/>
      <c r="BX17" s="714"/>
      <c r="BY17" s="714"/>
      <c r="BZ17" s="714"/>
      <c r="CA17" s="714"/>
      <c r="CB17" s="714"/>
      <c r="CC17" s="714"/>
      <c r="CD17" s="714"/>
      <c r="CE17" s="714"/>
      <c r="CF17" s="714"/>
      <c r="CG17" s="714"/>
      <c r="CH17" s="714"/>
      <c r="CI17" s="714"/>
      <c r="CJ17" s="714"/>
      <c r="CK17" s="714"/>
      <c r="CL17" s="714"/>
      <c r="CM17" s="714"/>
      <c r="CN17" s="714"/>
      <c r="CO17" s="714"/>
      <c r="CP17" s="714"/>
      <c r="CQ17" s="714"/>
      <c r="CR17" s="714"/>
      <c r="CS17" s="714"/>
      <c r="CT17" s="714"/>
      <c r="CU17" s="714"/>
      <c r="CV17" s="714"/>
      <c r="CW17" s="714"/>
      <c r="CX17" s="714"/>
      <c r="CY17" s="714"/>
      <c r="CZ17" s="714"/>
      <c r="DA17" s="714"/>
      <c r="DB17" s="714"/>
      <c r="DC17" s="714"/>
      <c r="DD17" s="714"/>
      <c r="DE17" s="714"/>
      <c r="DF17" s="714"/>
      <c r="DG17" s="714"/>
      <c r="DH17" s="714"/>
      <c r="DI17" s="714"/>
      <c r="DJ17" s="714"/>
      <c r="DK17" s="714"/>
      <c r="DL17" s="714"/>
      <c r="DM17" s="714"/>
      <c r="DN17" s="714"/>
      <c r="DO17" s="714"/>
      <c r="DP17" s="714"/>
      <c r="DQ17" s="714"/>
      <c r="DR17" s="714"/>
      <c r="DS17" s="714"/>
      <c r="DT17" s="714"/>
      <c r="DU17" s="714"/>
      <c r="DV17" s="714"/>
      <c r="DW17" s="714"/>
      <c r="DX17" s="714"/>
      <c r="DY17" s="714"/>
      <c r="DZ17" s="714"/>
      <c r="EA17" s="714"/>
      <c r="EB17" s="714"/>
      <c r="EC17" s="714"/>
      <c r="ED17" s="714"/>
      <c r="EE17" s="714"/>
      <c r="EF17" s="714"/>
      <c r="EG17" s="714"/>
      <c r="EH17" s="714"/>
      <c r="EI17" s="714"/>
      <c r="EJ17" s="714"/>
      <c r="EK17" s="714"/>
      <c r="EL17" s="714"/>
      <c r="EM17" s="714"/>
      <c r="EN17" s="714"/>
      <c r="EO17" s="714"/>
      <c r="EP17" s="714"/>
      <c r="EQ17" s="714"/>
      <c r="ER17" s="714"/>
      <c r="ES17" s="714"/>
      <c r="ET17" s="714"/>
      <c r="EU17" s="714"/>
      <c r="EV17" s="714"/>
      <c r="EW17" s="714"/>
      <c r="EX17" s="714"/>
    </row>
    <row r="18" spans="1:154" s="386" customFormat="1" ht="15" customHeight="1">
      <c r="A18" s="258" t="s">
        <v>323</v>
      </c>
      <c r="B18" s="1680">
        <f>'Anexo 1 _ BAL ORC'!C16</f>
        <v>69590717</v>
      </c>
      <c r="C18" s="1685"/>
      <c r="D18" s="1701">
        <f>'Anexo 1 _ BAL ORC'!G16</f>
        <v>34695798.88</v>
      </c>
      <c r="E18" s="1702"/>
      <c r="N18" s="1680">
        <v>30693545.84</v>
      </c>
      <c r="O18" s="1681"/>
      <c r="P18" s="1682"/>
      <c r="Q18" s="714"/>
      <c r="R18" s="714"/>
      <c r="S18" s="714"/>
      <c r="T18" s="714"/>
      <c r="U18" s="715"/>
      <c r="V18" s="714"/>
      <c r="W18" s="714"/>
      <c r="X18" s="714"/>
      <c r="Y18" s="714"/>
      <c r="Z18" s="714"/>
      <c r="AA18" s="714"/>
      <c r="AB18" s="714"/>
      <c r="AC18" s="714"/>
      <c r="AD18" s="714"/>
      <c r="AE18" s="714"/>
      <c r="AF18" s="714"/>
      <c r="AG18" s="714"/>
      <c r="AH18" s="714"/>
      <c r="AI18" s="714"/>
      <c r="AJ18" s="714"/>
      <c r="AK18" s="714"/>
      <c r="AL18" s="714"/>
      <c r="AM18" s="714"/>
      <c r="AN18" s="714"/>
      <c r="AO18" s="714"/>
      <c r="AP18" s="714"/>
      <c r="AQ18" s="714"/>
      <c r="AR18" s="714"/>
      <c r="AS18" s="714"/>
      <c r="AT18" s="714"/>
      <c r="AU18" s="714"/>
      <c r="AV18" s="714"/>
      <c r="AW18" s="714"/>
      <c r="AX18" s="714"/>
      <c r="AY18" s="714"/>
      <c r="AZ18" s="714"/>
      <c r="BA18" s="714"/>
      <c r="BB18" s="714"/>
      <c r="BC18" s="714"/>
      <c r="BD18" s="714"/>
      <c r="BE18" s="714"/>
      <c r="BF18" s="714"/>
      <c r="BG18" s="714"/>
      <c r="BH18" s="714"/>
      <c r="BI18" s="714"/>
      <c r="BJ18" s="714"/>
      <c r="BK18" s="714"/>
      <c r="BL18" s="714"/>
      <c r="BM18" s="714"/>
      <c r="BN18" s="714"/>
      <c r="BO18" s="714"/>
      <c r="BP18" s="714"/>
      <c r="BQ18" s="714"/>
      <c r="BR18" s="714"/>
      <c r="BS18" s="714"/>
      <c r="BT18" s="714"/>
      <c r="BU18" s="714"/>
      <c r="BV18" s="714"/>
      <c r="BW18" s="714"/>
      <c r="BX18" s="714"/>
      <c r="BY18" s="714"/>
      <c r="BZ18" s="714"/>
      <c r="CA18" s="714"/>
      <c r="CB18" s="714"/>
      <c r="CC18" s="714"/>
      <c r="CD18" s="714"/>
      <c r="CE18" s="714"/>
      <c r="CF18" s="714"/>
      <c r="CG18" s="714"/>
      <c r="CH18" s="714"/>
      <c r="CI18" s="714"/>
      <c r="CJ18" s="714"/>
      <c r="CK18" s="714"/>
      <c r="CL18" s="714"/>
      <c r="CM18" s="714"/>
      <c r="CN18" s="714"/>
      <c r="CO18" s="714"/>
      <c r="CP18" s="714"/>
      <c r="CQ18" s="714"/>
      <c r="CR18" s="714"/>
      <c r="CS18" s="714"/>
      <c r="CT18" s="714"/>
      <c r="CU18" s="714"/>
      <c r="CV18" s="714"/>
      <c r="CW18" s="714"/>
      <c r="CX18" s="714"/>
      <c r="CY18" s="714"/>
      <c r="CZ18" s="714"/>
      <c r="DA18" s="714"/>
      <c r="DB18" s="714"/>
      <c r="DC18" s="714"/>
      <c r="DD18" s="714"/>
      <c r="DE18" s="714"/>
      <c r="DF18" s="714"/>
      <c r="DG18" s="714"/>
      <c r="DH18" s="714"/>
      <c r="DI18" s="714"/>
      <c r="DJ18" s="714"/>
      <c r="DK18" s="714"/>
      <c r="DL18" s="714"/>
      <c r="DM18" s="714"/>
      <c r="DN18" s="714"/>
      <c r="DO18" s="714"/>
      <c r="DP18" s="714"/>
      <c r="DQ18" s="714"/>
      <c r="DR18" s="714"/>
      <c r="DS18" s="714"/>
      <c r="DT18" s="714"/>
      <c r="DU18" s="714"/>
      <c r="DV18" s="714"/>
      <c r="DW18" s="714"/>
      <c r="DX18" s="714"/>
      <c r="DY18" s="714"/>
      <c r="DZ18" s="714"/>
      <c r="EA18" s="714"/>
      <c r="EB18" s="714"/>
      <c r="EC18" s="714"/>
      <c r="ED18" s="714"/>
      <c r="EE18" s="714"/>
      <c r="EF18" s="714"/>
      <c r="EG18" s="714"/>
      <c r="EH18" s="714"/>
      <c r="EI18" s="714"/>
      <c r="EJ18" s="714"/>
      <c r="EK18" s="714"/>
      <c r="EL18" s="714"/>
      <c r="EM18" s="714"/>
      <c r="EN18" s="714"/>
      <c r="EO18" s="714"/>
      <c r="EP18" s="714"/>
      <c r="EQ18" s="714"/>
      <c r="ER18" s="714"/>
      <c r="ES18" s="714"/>
      <c r="ET18" s="714"/>
      <c r="EU18" s="714"/>
      <c r="EV18" s="714"/>
      <c r="EW18" s="714"/>
      <c r="EX18" s="714"/>
    </row>
    <row r="19" spans="1:154" s="259" customFormat="1" ht="15" customHeight="1">
      <c r="A19" s="258" t="s">
        <v>324</v>
      </c>
      <c r="B19" s="1680">
        <f>'Anexo 1 _ BAL ORC'!C17</f>
        <v>68236912</v>
      </c>
      <c r="C19" s="1685"/>
      <c r="D19" s="1701">
        <f>'Anexo 1 _ BAL ORC'!G17</f>
        <v>34634539.2</v>
      </c>
      <c r="E19" s="1702"/>
      <c r="N19" s="1680">
        <v>32478657.2</v>
      </c>
      <c r="O19" s="1681"/>
      <c r="P19" s="1682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4"/>
      <c r="AJ19" s="714"/>
      <c r="AK19" s="714"/>
      <c r="AL19" s="714"/>
      <c r="AM19" s="714"/>
      <c r="AN19" s="714"/>
      <c r="AO19" s="714"/>
      <c r="AP19" s="714"/>
      <c r="AQ19" s="714"/>
      <c r="AR19" s="714"/>
      <c r="AS19" s="714"/>
      <c r="AT19" s="714"/>
      <c r="AU19" s="714"/>
      <c r="AV19" s="714"/>
      <c r="AW19" s="714"/>
      <c r="AX19" s="714"/>
      <c r="AY19" s="714"/>
      <c r="AZ19" s="714"/>
      <c r="BA19" s="714"/>
      <c r="BB19" s="714"/>
      <c r="BC19" s="714"/>
      <c r="BD19" s="714"/>
      <c r="BE19" s="714"/>
      <c r="BF19" s="714"/>
      <c r="BG19" s="714"/>
      <c r="BH19" s="714"/>
      <c r="BI19" s="714"/>
      <c r="BJ19" s="714"/>
      <c r="BK19" s="714"/>
      <c r="BL19" s="714"/>
      <c r="BM19" s="714"/>
      <c r="BN19" s="714"/>
      <c r="BO19" s="714"/>
      <c r="BP19" s="714"/>
      <c r="BQ19" s="714"/>
      <c r="BR19" s="714"/>
      <c r="BS19" s="714"/>
      <c r="BT19" s="714"/>
      <c r="BU19" s="714"/>
      <c r="BV19" s="714"/>
      <c r="BW19" s="714"/>
      <c r="BX19" s="714"/>
      <c r="BY19" s="714"/>
      <c r="BZ19" s="714"/>
      <c r="CA19" s="714"/>
      <c r="CB19" s="714"/>
      <c r="CC19" s="714"/>
      <c r="CD19" s="714"/>
      <c r="CE19" s="714"/>
      <c r="CF19" s="714"/>
      <c r="CG19" s="714"/>
      <c r="CH19" s="714"/>
      <c r="CI19" s="714"/>
      <c r="CJ19" s="714"/>
      <c r="CK19" s="714"/>
      <c r="CL19" s="714"/>
      <c r="CM19" s="714"/>
      <c r="CN19" s="714"/>
      <c r="CO19" s="714"/>
      <c r="CP19" s="714"/>
      <c r="CQ19" s="714"/>
      <c r="CR19" s="714"/>
      <c r="CS19" s="714"/>
      <c r="CT19" s="714"/>
      <c r="CU19" s="714"/>
      <c r="CV19" s="714"/>
      <c r="CW19" s="714"/>
      <c r="CX19" s="714"/>
      <c r="CY19" s="714"/>
      <c r="CZ19" s="714"/>
      <c r="DA19" s="714"/>
      <c r="DB19" s="714"/>
      <c r="DC19" s="714"/>
      <c r="DD19" s="714"/>
      <c r="DE19" s="714"/>
      <c r="DF19" s="714"/>
      <c r="DG19" s="714"/>
      <c r="DH19" s="714"/>
      <c r="DI19" s="714"/>
      <c r="DJ19" s="714"/>
      <c r="DK19" s="714"/>
      <c r="DL19" s="714"/>
      <c r="DM19" s="714"/>
      <c r="DN19" s="714"/>
      <c r="DO19" s="714"/>
      <c r="DP19" s="714"/>
      <c r="DQ19" s="714"/>
      <c r="DR19" s="714"/>
      <c r="DS19" s="714"/>
      <c r="DT19" s="714"/>
      <c r="DU19" s="714"/>
      <c r="DV19" s="714"/>
      <c r="DW19" s="714"/>
      <c r="DX19" s="714"/>
      <c r="DY19" s="714"/>
      <c r="DZ19" s="714"/>
      <c r="EA19" s="714"/>
      <c r="EB19" s="714"/>
      <c r="EC19" s="714"/>
      <c r="ED19" s="714"/>
      <c r="EE19" s="714"/>
      <c r="EF19" s="714"/>
      <c r="EG19" s="714"/>
      <c r="EH19" s="714"/>
      <c r="EI19" s="714"/>
      <c r="EJ19" s="714"/>
      <c r="EK19" s="714"/>
      <c r="EL19" s="714"/>
      <c r="EM19" s="714"/>
      <c r="EN19" s="714"/>
      <c r="EO19" s="714"/>
      <c r="EP19" s="714"/>
      <c r="EQ19" s="714"/>
      <c r="ER19" s="714"/>
      <c r="ES19" s="714"/>
      <c r="ET19" s="714"/>
      <c r="EU19" s="714"/>
      <c r="EV19" s="714"/>
      <c r="EW19" s="714"/>
      <c r="EX19" s="714"/>
    </row>
    <row r="20" spans="1:154" s="579" customFormat="1" ht="15" customHeight="1">
      <c r="A20" s="530" t="s">
        <v>325</v>
      </c>
      <c r="B20" s="1677">
        <f>B21-B22</f>
        <v>377322</v>
      </c>
      <c r="C20" s="1679"/>
      <c r="D20" s="1716">
        <f>D21-D22</f>
        <v>175461.6799999997</v>
      </c>
      <c r="E20" s="1711"/>
      <c r="N20" s="1677">
        <f>N21-N22</f>
        <v>178666.05000000075</v>
      </c>
      <c r="O20" s="1678"/>
      <c r="P20" s="1679"/>
      <c r="Q20" s="719"/>
      <c r="R20" s="719"/>
      <c r="S20" s="719"/>
      <c r="T20" s="719"/>
      <c r="U20" s="719"/>
      <c r="V20" s="719"/>
      <c r="W20" s="719"/>
      <c r="X20" s="719"/>
      <c r="Y20" s="719"/>
      <c r="Z20" s="719"/>
      <c r="AA20" s="719"/>
      <c r="AB20" s="719"/>
      <c r="AC20" s="719"/>
      <c r="AD20" s="719"/>
      <c r="AE20" s="719"/>
      <c r="AF20" s="719"/>
      <c r="AG20" s="719"/>
      <c r="AH20" s="719"/>
      <c r="AI20" s="719"/>
      <c r="AJ20" s="719"/>
      <c r="AK20" s="719"/>
      <c r="AL20" s="719"/>
      <c r="AM20" s="719"/>
      <c r="AN20" s="719"/>
      <c r="AO20" s="719"/>
      <c r="AP20" s="719"/>
      <c r="AQ20" s="719"/>
      <c r="AR20" s="719"/>
      <c r="AS20" s="719"/>
      <c r="AT20" s="719"/>
      <c r="AU20" s="719"/>
      <c r="AV20" s="719"/>
      <c r="AW20" s="719"/>
      <c r="AX20" s="719"/>
      <c r="AY20" s="719"/>
      <c r="AZ20" s="719"/>
      <c r="BA20" s="719"/>
      <c r="BB20" s="719"/>
      <c r="BC20" s="719"/>
      <c r="BD20" s="719"/>
      <c r="BE20" s="719"/>
      <c r="BF20" s="719"/>
      <c r="BG20" s="719"/>
      <c r="BH20" s="719"/>
      <c r="BI20" s="719"/>
      <c r="BJ20" s="719"/>
      <c r="BK20" s="719"/>
      <c r="BL20" s="719"/>
      <c r="BM20" s="719"/>
      <c r="BN20" s="719"/>
      <c r="BO20" s="719"/>
      <c r="BP20" s="719"/>
      <c r="BQ20" s="719"/>
      <c r="BR20" s="719"/>
      <c r="BS20" s="719"/>
      <c r="BT20" s="719"/>
      <c r="BU20" s="719"/>
      <c r="BV20" s="719"/>
      <c r="BW20" s="719"/>
      <c r="BX20" s="719"/>
      <c r="BY20" s="719"/>
      <c r="BZ20" s="719"/>
      <c r="CA20" s="719"/>
      <c r="CB20" s="719"/>
      <c r="CC20" s="719"/>
      <c r="CD20" s="719"/>
      <c r="CE20" s="719"/>
      <c r="CF20" s="719"/>
      <c r="CG20" s="719"/>
      <c r="CH20" s="719"/>
      <c r="CI20" s="719"/>
      <c r="CJ20" s="719"/>
      <c r="CK20" s="719"/>
      <c r="CL20" s="719"/>
      <c r="CM20" s="719"/>
      <c r="CN20" s="719"/>
      <c r="CO20" s="719"/>
      <c r="CP20" s="719"/>
      <c r="CQ20" s="719"/>
      <c r="CR20" s="719"/>
      <c r="CS20" s="719"/>
      <c r="CT20" s="719"/>
      <c r="CU20" s="719"/>
      <c r="CV20" s="719"/>
      <c r="CW20" s="719"/>
      <c r="CX20" s="719"/>
      <c r="CY20" s="719"/>
      <c r="CZ20" s="719"/>
      <c r="DA20" s="719"/>
      <c r="DB20" s="719"/>
      <c r="DC20" s="719"/>
      <c r="DD20" s="719"/>
      <c r="DE20" s="719"/>
      <c r="DF20" s="719"/>
      <c r="DG20" s="719"/>
      <c r="DH20" s="719"/>
      <c r="DI20" s="719"/>
      <c r="DJ20" s="719"/>
      <c r="DK20" s="719"/>
      <c r="DL20" s="719"/>
      <c r="DM20" s="719"/>
      <c r="DN20" s="719"/>
      <c r="DO20" s="719"/>
      <c r="DP20" s="719"/>
      <c r="DQ20" s="719"/>
      <c r="DR20" s="719"/>
      <c r="DS20" s="719"/>
      <c r="DT20" s="719"/>
      <c r="DU20" s="719"/>
      <c r="DV20" s="719"/>
      <c r="DW20" s="719"/>
      <c r="DX20" s="719"/>
      <c r="DY20" s="719"/>
      <c r="DZ20" s="719"/>
      <c r="EA20" s="719"/>
      <c r="EB20" s="719"/>
      <c r="EC20" s="719"/>
      <c r="ED20" s="719"/>
      <c r="EE20" s="719"/>
      <c r="EF20" s="719"/>
      <c r="EG20" s="719"/>
      <c r="EH20" s="719"/>
      <c r="EI20" s="719"/>
      <c r="EJ20" s="719"/>
      <c r="EK20" s="719"/>
      <c r="EL20" s="719"/>
      <c r="EM20" s="719"/>
      <c r="EN20" s="719"/>
      <c r="EO20" s="719"/>
      <c r="EP20" s="719"/>
      <c r="EQ20" s="719"/>
      <c r="ER20" s="719"/>
      <c r="ES20" s="719"/>
      <c r="ET20" s="719"/>
      <c r="EU20" s="719"/>
      <c r="EV20" s="719"/>
      <c r="EW20" s="719"/>
      <c r="EX20" s="719"/>
    </row>
    <row r="21" spans="1:154" ht="15" customHeight="1">
      <c r="A21" s="258" t="s">
        <v>326</v>
      </c>
      <c r="B21" s="1680">
        <f>'Anexo 1 _ BAL ORC'!C18</f>
        <v>39189925</v>
      </c>
      <c r="C21" s="1685"/>
      <c r="D21" s="1701">
        <f>'Anexo 1 _ BAL ORC'!G18</f>
        <v>18178450.35</v>
      </c>
      <c r="E21" s="1702"/>
      <c r="N21" s="1680">
        <v>18421198.16</v>
      </c>
      <c r="O21" s="1681"/>
      <c r="P21" s="1682"/>
      <c r="Q21" s="714"/>
      <c r="R21" s="714"/>
      <c r="S21" s="714"/>
      <c r="T21" s="714"/>
      <c r="U21" s="714"/>
      <c r="V21" s="717"/>
      <c r="W21" s="714"/>
      <c r="X21" s="714"/>
      <c r="Y21" s="714"/>
      <c r="Z21" s="714"/>
      <c r="AA21" s="714"/>
      <c r="AB21" s="714"/>
      <c r="AC21" s="714"/>
      <c r="AD21" s="714"/>
      <c r="AE21" s="714"/>
      <c r="AF21" s="714"/>
      <c r="AG21" s="714"/>
      <c r="AH21" s="714"/>
      <c r="AI21" s="714"/>
      <c r="AJ21" s="714"/>
      <c r="AK21" s="714"/>
      <c r="AL21" s="714"/>
      <c r="AM21" s="714"/>
      <c r="AN21" s="714"/>
      <c r="AO21" s="714"/>
      <c r="AP21" s="714"/>
      <c r="AQ21" s="714"/>
      <c r="AR21" s="714"/>
      <c r="AS21" s="714"/>
      <c r="AT21" s="714"/>
      <c r="AU21" s="714"/>
      <c r="AV21" s="714"/>
      <c r="AW21" s="714"/>
      <c r="AX21" s="714"/>
      <c r="AY21" s="714"/>
      <c r="AZ21" s="714"/>
      <c r="BA21" s="714"/>
      <c r="BB21" s="714"/>
      <c r="BC21" s="714"/>
      <c r="BD21" s="714"/>
      <c r="BE21" s="714"/>
      <c r="BF21" s="714"/>
      <c r="BG21" s="714"/>
      <c r="BH21" s="714"/>
      <c r="BI21" s="714"/>
      <c r="BJ21" s="714"/>
      <c r="BK21" s="714"/>
      <c r="BL21" s="714"/>
      <c r="BM21" s="714"/>
      <c r="BN21" s="714"/>
      <c r="BO21" s="714"/>
      <c r="BP21" s="714"/>
      <c r="BQ21" s="714"/>
      <c r="BR21" s="714"/>
      <c r="BS21" s="714"/>
      <c r="BT21" s="714"/>
      <c r="BU21" s="714"/>
      <c r="BV21" s="714"/>
      <c r="BW21" s="714"/>
      <c r="BX21" s="714"/>
      <c r="BY21" s="714"/>
      <c r="BZ21" s="714"/>
      <c r="CA21" s="714"/>
      <c r="CB21" s="714"/>
      <c r="CC21" s="714"/>
      <c r="CD21" s="714"/>
      <c r="CE21" s="714"/>
      <c r="CF21" s="714"/>
      <c r="CG21" s="714"/>
      <c r="CH21" s="714"/>
      <c r="CI21" s="714"/>
      <c r="CJ21" s="714"/>
      <c r="CK21" s="714"/>
      <c r="CL21" s="714"/>
      <c r="CM21" s="714"/>
      <c r="CN21" s="714"/>
      <c r="CO21" s="714"/>
      <c r="CP21" s="714"/>
      <c r="CQ21" s="714"/>
      <c r="CR21" s="714"/>
      <c r="CS21" s="714"/>
      <c r="CT21" s="714"/>
      <c r="CU21" s="714"/>
      <c r="CV21" s="714"/>
      <c r="CW21" s="714"/>
      <c r="CX21" s="714"/>
      <c r="CY21" s="714"/>
      <c r="CZ21" s="714"/>
      <c r="DA21" s="714"/>
      <c r="DB21" s="714"/>
      <c r="DC21" s="714"/>
      <c r="DD21" s="714"/>
      <c r="DE21" s="714"/>
      <c r="DF21" s="714"/>
      <c r="DG21" s="714"/>
      <c r="DH21" s="714"/>
      <c r="DI21" s="714"/>
      <c r="DJ21" s="714"/>
      <c r="DK21" s="714"/>
      <c r="DL21" s="714"/>
      <c r="DM21" s="714"/>
      <c r="DN21" s="714"/>
      <c r="DO21" s="714"/>
      <c r="DP21" s="714"/>
      <c r="DQ21" s="714"/>
      <c r="DR21" s="714"/>
      <c r="DS21" s="714"/>
      <c r="DT21" s="714"/>
      <c r="DU21" s="714"/>
      <c r="DV21" s="714"/>
      <c r="DW21" s="714"/>
      <c r="DX21" s="714"/>
      <c r="DY21" s="714"/>
      <c r="DZ21" s="714"/>
      <c r="EA21" s="714"/>
      <c r="EB21" s="714"/>
      <c r="EC21" s="714"/>
      <c r="ED21" s="714"/>
      <c r="EE21" s="714"/>
      <c r="EF21" s="714"/>
      <c r="EG21" s="714"/>
      <c r="EH21" s="714"/>
      <c r="EI21" s="714"/>
      <c r="EJ21" s="714"/>
      <c r="EK21" s="714"/>
      <c r="EL21" s="714"/>
      <c r="EM21" s="714"/>
      <c r="EN21" s="714"/>
      <c r="EO21" s="714"/>
      <c r="EP21" s="714"/>
      <c r="EQ21" s="714"/>
      <c r="ER21" s="714"/>
      <c r="ES21" s="714"/>
      <c r="ET21" s="714"/>
      <c r="EU21" s="714"/>
      <c r="EV21" s="714"/>
      <c r="EW21" s="714"/>
      <c r="EX21" s="714"/>
    </row>
    <row r="22" spans="1:154" ht="15" customHeight="1">
      <c r="A22" s="255" t="s">
        <v>327</v>
      </c>
      <c r="B22" s="1680">
        <f>'Anexo 1 _ BAL ORC'!C20</f>
        <v>38812603</v>
      </c>
      <c r="C22" s="1685"/>
      <c r="D22" s="1701">
        <f>'Anexo 1 _ BAL ORC'!G20</f>
        <v>18002988.67</v>
      </c>
      <c r="E22" s="1702"/>
      <c r="N22" s="1680">
        <v>18242532.11</v>
      </c>
      <c r="O22" s="1681"/>
      <c r="P22" s="1682"/>
      <c r="Q22" s="714"/>
      <c r="R22" s="714"/>
      <c r="S22" s="714"/>
      <c r="T22" s="714"/>
      <c r="U22" s="714"/>
      <c r="V22" s="715"/>
      <c r="W22" s="714"/>
      <c r="X22" s="714"/>
      <c r="Y22" s="714"/>
      <c r="Z22" s="714"/>
      <c r="AA22" s="714"/>
      <c r="AB22" s="714"/>
      <c r="AC22" s="714"/>
      <c r="AD22" s="714"/>
      <c r="AE22" s="714"/>
      <c r="AF22" s="714"/>
      <c r="AG22" s="714"/>
      <c r="AH22" s="714"/>
      <c r="AI22" s="714"/>
      <c r="AJ22" s="714"/>
      <c r="AK22" s="714"/>
      <c r="AL22" s="714"/>
      <c r="AM22" s="714"/>
      <c r="AN22" s="714"/>
      <c r="AO22" s="714"/>
      <c r="AP22" s="714"/>
      <c r="AQ22" s="714"/>
      <c r="AR22" s="714"/>
      <c r="AS22" s="714"/>
      <c r="AT22" s="714"/>
      <c r="AU22" s="714"/>
      <c r="AV22" s="714"/>
      <c r="AW22" s="714"/>
      <c r="AX22" s="714"/>
      <c r="AY22" s="714"/>
      <c r="AZ22" s="714"/>
      <c r="BA22" s="714"/>
      <c r="BB22" s="714"/>
      <c r="BC22" s="714"/>
      <c r="BD22" s="714"/>
      <c r="BE22" s="714"/>
      <c r="BF22" s="714"/>
      <c r="BG22" s="714"/>
      <c r="BH22" s="714"/>
      <c r="BI22" s="714"/>
      <c r="BJ22" s="714"/>
      <c r="BK22" s="714"/>
      <c r="BL22" s="714"/>
      <c r="BM22" s="714"/>
      <c r="BN22" s="714"/>
      <c r="BO22" s="714"/>
      <c r="BP22" s="714"/>
      <c r="BQ22" s="714"/>
      <c r="BR22" s="714"/>
      <c r="BS22" s="714"/>
      <c r="BT22" s="714"/>
      <c r="BU22" s="714"/>
      <c r="BV22" s="714"/>
      <c r="BW22" s="714"/>
      <c r="BX22" s="714"/>
      <c r="BY22" s="714"/>
      <c r="BZ22" s="714"/>
      <c r="CA22" s="714"/>
      <c r="CB22" s="714"/>
      <c r="CC22" s="714"/>
      <c r="CD22" s="714"/>
      <c r="CE22" s="714"/>
      <c r="CF22" s="714"/>
      <c r="CG22" s="714"/>
      <c r="CH22" s="714"/>
      <c r="CI22" s="714"/>
      <c r="CJ22" s="714"/>
      <c r="CK22" s="714"/>
      <c r="CL22" s="714"/>
      <c r="CM22" s="714"/>
      <c r="CN22" s="714"/>
      <c r="CO22" s="714"/>
      <c r="CP22" s="714"/>
      <c r="CQ22" s="714"/>
      <c r="CR22" s="714"/>
      <c r="CS22" s="714"/>
      <c r="CT22" s="714"/>
      <c r="CU22" s="714"/>
      <c r="CV22" s="714"/>
      <c r="CW22" s="714"/>
      <c r="CX22" s="714"/>
      <c r="CY22" s="714"/>
      <c r="CZ22" s="714"/>
      <c r="DA22" s="714"/>
      <c r="DB22" s="714"/>
      <c r="DC22" s="714"/>
      <c r="DD22" s="714"/>
      <c r="DE22" s="714"/>
      <c r="DF22" s="714"/>
      <c r="DG22" s="714"/>
      <c r="DH22" s="714"/>
      <c r="DI22" s="714"/>
      <c r="DJ22" s="714"/>
      <c r="DK22" s="714"/>
      <c r="DL22" s="714"/>
      <c r="DM22" s="714"/>
      <c r="DN22" s="714"/>
      <c r="DO22" s="714"/>
      <c r="DP22" s="714"/>
      <c r="DQ22" s="714"/>
      <c r="DR22" s="714"/>
      <c r="DS22" s="714"/>
      <c r="DT22" s="714"/>
      <c r="DU22" s="714"/>
      <c r="DV22" s="714"/>
      <c r="DW22" s="714"/>
      <c r="DX22" s="714"/>
      <c r="DY22" s="714"/>
      <c r="DZ22" s="714"/>
      <c r="EA22" s="714"/>
      <c r="EB22" s="714"/>
      <c r="EC22" s="714"/>
      <c r="ED22" s="714"/>
      <c r="EE22" s="714"/>
      <c r="EF22" s="714"/>
      <c r="EG22" s="714"/>
      <c r="EH22" s="714"/>
      <c r="EI22" s="714"/>
      <c r="EJ22" s="714"/>
      <c r="EK22" s="714"/>
      <c r="EL22" s="714"/>
      <c r="EM22" s="714"/>
      <c r="EN22" s="714"/>
      <c r="EO22" s="714"/>
      <c r="EP22" s="714"/>
      <c r="EQ22" s="714"/>
      <c r="ER22" s="714"/>
      <c r="ES22" s="714"/>
      <c r="ET22" s="714"/>
      <c r="EU22" s="714"/>
      <c r="EV22" s="714"/>
      <c r="EW22" s="714"/>
      <c r="EX22" s="714"/>
    </row>
    <row r="23" spans="1:154" s="264" customFormat="1" ht="15" customHeight="1">
      <c r="A23" s="530" t="s">
        <v>196</v>
      </c>
      <c r="B23" s="1677">
        <f>B24+B25+B26+B27</f>
        <v>1587534486.13</v>
      </c>
      <c r="C23" s="1686"/>
      <c r="D23" s="1710">
        <f>D24+D25+D26+D27</f>
        <v>748846164.27</v>
      </c>
      <c r="E23" s="1711"/>
      <c r="N23" s="1677">
        <f>N24+N25+N26+N27</f>
        <v>713213992.47</v>
      </c>
      <c r="O23" s="1678"/>
      <c r="P23" s="1679"/>
      <c r="Q23" s="719"/>
      <c r="R23" s="719"/>
      <c r="S23" s="719"/>
      <c r="T23" s="720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19"/>
      <c r="AI23" s="719"/>
      <c r="AJ23" s="719"/>
      <c r="AK23" s="719"/>
      <c r="AL23" s="719"/>
      <c r="AM23" s="719"/>
      <c r="AN23" s="719"/>
      <c r="AO23" s="719"/>
      <c r="AP23" s="719"/>
      <c r="AQ23" s="719"/>
      <c r="AR23" s="719"/>
      <c r="AS23" s="719"/>
      <c r="AT23" s="719"/>
      <c r="AU23" s="719"/>
      <c r="AV23" s="719"/>
      <c r="AW23" s="719"/>
      <c r="AX23" s="719"/>
      <c r="AY23" s="719"/>
      <c r="AZ23" s="719"/>
      <c r="BA23" s="719"/>
      <c r="BB23" s="719"/>
      <c r="BC23" s="719"/>
      <c r="BD23" s="719"/>
      <c r="BE23" s="719"/>
      <c r="BF23" s="719"/>
      <c r="BG23" s="719"/>
      <c r="BH23" s="719"/>
      <c r="BI23" s="719"/>
      <c r="BJ23" s="719"/>
      <c r="BK23" s="719"/>
      <c r="BL23" s="719"/>
      <c r="BM23" s="719"/>
      <c r="BN23" s="719"/>
      <c r="BO23" s="719"/>
      <c r="BP23" s="719"/>
      <c r="BQ23" s="719"/>
      <c r="BR23" s="719"/>
      <c r="BS23" s="719"/>
      <c r="BT23" s="719"/>
      <c r="BU23" s="719"/>
      <c r="BV23" s="719"/>
      <c r="BW23" s="719"/>
      <c r="BX23" s="719"/>
      <c r="BY23" s="719"/>
      <c r="BZ23" s="719"/>
      <c r="CA23" s="719"/>
      <c r="CB23" s="719"/>
      <c r="CC23" s="719"/>
      <c r="CD23" s="719"/>
      <c r="CE23" s="719"/>
      <c r="CF23" s="719"/>
      <c r="CG23" s="719"/>
      <c r="CH23" s="719"/>
      <c r="CI23" s="719"/>
      <c r="CJ23" s="719"/>
      <c r="CK23" s="719"/>
      <c r="CL23" s="719"/>
      <c r="CM23" s="719"/>
      <c r="CN23" s="719"/>
      <c r="CO23" s="719"/>
      <c r="CP23" s="719"/>
      <c r="CQ23" s="719"/>
      <c r="CR23" s="719"/>
      <c r="CS23" s="719"/>
      <c r="CT23" s="719"/>
      <c r="CU23" s="719"/>
      <c r="CV23" s="719"/>
      <c r="CW23" s="719"/>
      <c r="CX23" s="719"/>
      <c r="CY23" s="719"/>
      <c r="CZ23" s="719"/>
      <c r="DA23" s="719"/>
      <c r="DB23" s="719"/>
      <c r="DC23" s="719"/>
      <c r="DD23" s="719"/>
      <c r="DE23" s="719"/>
      <c r="DF23" s="719"/>
      <c r="DG23" s="719"/>
      <c r="DH23" s="719"/>
      <c r="DI23" s="719"/>
      <c r="DJ23" s="719"/>
      <c r="DK23" s="719"/>
      <c r="DL23" s="719"/>
      <c r="DM23" s="719"/>
      <c r="DN23" s="719"/>
      <c r="DO23" s="719"/>
      <c r="DP23" s="719"/>
      <c r="DQ23" s="719"/>
      <c r="DR23" s="719"/>
      <c r="DS23" s="719"/>
      <c r="DT23" s="719"/>
      <c r="DU23" s="719"/>
      <c r="DV23" s="719"/>
      <c r="DW23" s="719"/>
      <c r="DX23" s="719"/>
      <c r="DY23" s="719"/>
      <c r="DZ23" s="719"/>
      <c r="EA23" s="719"/>
      <c r="EB23" s="719"/>
      <c r="EC23" s="719"/>
      <c r="ED23" s="719"/>
      <c r="EE23" s="719"/>
      <c r="EF23" s="719"/>
      <c r="EG23" s="719"/>
      <c r="EH23" s="719"/>
      <c r="EI23" s="719"/>
      <c r="EJ23" s="719"/>
      <c r="EK23" s="719"/>
      <c r="EL23" s="719"/>
      <c r="EM23" s="719"/>
      <c r="EN23" s="719"/>
      <c r="EO23" s="719"/>
      <c r="EP23" s="719"/>
      <c r="EQ23" s="719"/>
      <c r="ER23" s="719"/>
      <c r="ES23" s="719"/>
      <c r="ET23" s="719"/>
      <c r="EU23" s="719"/>
      <c r="EV23" s="719"/>
      <c r="EW23" s="719"/>
      <c r="EX23" s="719"/>
    </row>
    <row r="24" spans="1:154" s="386" customFormat="1" ht="15" customHeight="1">
      <c r="A24" s="255" t="s">
        <v>328</v>
      </c>
      <c r="B24" s="1680">
        <f>'Anexo 3 _ RCL'!Q21</f>
        <v>559790291</v>
      </c>
      <c r="C24" s="1685"/>
      <c r="D24" s="1701">
        <f>232324002.37-46464800.31</f>
        <v>185859202.06</v>
      </c>
      <c r="E24" s="1702"/>
      <c r="N24" s="1680">
        <v>173548167.86</v>
      </c>
      <c r="O24" s="1681"/>
      <c r="P24" s="1682"/>
      <c r="Q24" s="714"/>
      <c r="R24" s="714"/>
      <c r="S24" s="714"/>
      <c r="T24" s="716"/>
      <c r="U24" s="714"/>
      <c r="V24" s="714"/>
      <c r="W24" s="714"/>
      <c r="X24" s="714"/>
      <c r="Y24" s="714"/>
      <c r="Z24" s="714"/>
      <c r="AA24" s="714"/>
      <c r="AB24" s="714"/>
      <c r="AC24" s="714"/>
      <c r="AD24" s="714"/>
      <c r="AE24" s="714"/>
      <c r="AF24" s="714"/>
      <c r="AG24" s="714"/>
      <c r="AH24" s="714"/>
      <c r="AI24" s="714"/>
      <c r="AJ24" s="714"/>
      <c r="AK24" s="714"/>
      <c r="AL24" s="714"/>
      <c r="AM24" s="714"/>
      <c r="AN24" s="714"/>
      <c r="AO24" s="714"/>
      <c r="AP24" s="714"/>
      <c r="AQ24" s="714"/>
      <c r="AR24" s="714"/>
      <c r="AS24" s="714"/>
      <c r="AT24" s="714"/>
      <c r="AU24" s="714"/>
      <c r="AV24" s="714"/>
      <c r="AW24" s="714"/>
      <c r="AX24" s="714"/>
      <c r="AY24" s="714"/>
      <c r="AZ24" s="714"/>
      <c r="BA24" s="714"/>
      <c r="BB24" s="714"/>
      <c r="BC24" s="714"/>
      <c r="BD24" s="714"/>
      <c r="BE24" s="714"/>
      <c r="BF24" s="714"/>
      <c r="BG24" s="714"/>
      <c r="BH24" s="714"/>
      <c r="BI24" s="714"/>
      <c r="BJ24" s="714"/>
      <c r="BK24" s="714"/>
      <c r="BL24" s="714"/>
      <c r="BM24" s="714"/>
      <c r="BN24" s="714"/>
      <c r="BO24" s="714"/>
      <c r="BP24" s="714"/>
      <c r="BQ24" s="714"/>
      <c r="BR24" s="714"/>
      <c r="BS24" s="714"/>
      <c r="BT24" s="714"/>
      <c r="BU24" s="714"/>
      <c r="BV24" s="714"/>
      <c r="BW24" s="714"/>
      <c r="BX24" s="714"/>
      <c r="BY24" s="714"/>
      <c r="BZ24" s="714"/>
      <c r="CA24" s="714"/>
      <c r="CB24" s="714"/>
      <c r="CC24" s="714"/>
      <c r="CD24" s="714"/>
      <c r="CE24" s="714"/>
      <c r="CF24" s="714"/>
      <c r="CG24" s="714"/>
      <c r="CH24" s="714"/>
      <c r="CI24" s="714"/>
      <c r="CJ24" s="714"/>
      <c r="CK24" s="714"/>
      <c r="CL24" s="714"/>
      <c r="CM24" s="714"/>
      <c r="CN24" s="714"/>
      <c r="CO24" s="714"/>
      <c r="CP24" s="714"/>
      <c r="CQ24" s="714"/>
      <c r="CR24" s="714"/>
      <c r="CS24" s="714"/>
      <c r="CT24" s="714"/>
      <c r="CU24" s="714"/>
      <c r="CV24" s="714"/>
      <c r="CW24" s="714"/>
      <c r="CX24" s="714"/>
      <c r="CY24" s="714"/>
      <c r="CZ24" s="714"/>
      <c r="DA24" s="714"/>
      <c r="DB24" s="714"/>
      <c r="DC24" s="714"/>
      <c r="DD24" s="714"/>
      <c r="DE24" s="714"/>
      <c r="DF24" s="714"/>
      <c r="DG24" s="714"/>
      <c r="DH24" s="714"/>
      <c r="DI24" s="714"/>
      <c r="DJ24" s="714"/>
      <c r="DK24" s="714"/>
      <c r="DL24" s="714"/>
      <c r="DM24" s="714"/>
      <c r="DN24" s="714"/>
      <c r="DO24" s="714"/>
      <c r="DP24" s="714"/>
      <c r="DQ24" s="714"/>
      <c r="DR24" s="714"/>
      <c r="DS24" s="714"/>
      <c r="DT24" s="714"/>
      <c r="DU24" s="714"/>
      <c r="DV24" s="714"/>
      <c r="DW24" s="714"/>
      <c r="DX24" s="714"/>
      <c r="DY24" s="714"/>
      <c r="DZ24" s="714"/>
      <c r="EA24" s="714"/>
      <c r="EB24" s="714"/>
      <c r="EC24" s="714"/>
      <c r="ED24" s="714"/>
      <c r="EE24" s="714"/>
      <c r="EF24" s="714"/>
      <c r="EG24" s="714"/>
      <c r="EH24" s="714"/>
      <c r="EI24" s="714"/>
      <c r="EJ24" s="714"/>
      <c r="EK24" s="714"/>
      <c r="EL24" s="714"/>
      <c r="EM24" s="714"/>
      <c r="EN24" s="714"/>
      <c r="EO24" s="714"/>
      <c r="EP24" s="714"/>
      <c r="EQ24" s="714"/>
      <c r="ER24" s="714"/>
      <c r="ES24" s="714"/>
      <c r="ET24" s="714"/>
      <c r="EU24" s="714"/>
      <c r="EV24" s="714"/>
      <c r="EW24" s="714"/>
      <c r="EX24" s="714"/>
    </row>
    <row r="25" spans="1:154" s="386" customFormat="1" ht="15" customHeight="1">
      <c r="A25" s="255" t="s">
        <v>329</v>
      </c>
      <c r="B25" s="1680">
        <f>'Anexo 3 _ RCL'!Q22</f>
        <v>452602097</v>
      </c>
      <c r="C25" s="1685"/>
      <c r="D25" s="1701">
        <f>189646155.5-37929230.93</f>
        <v>151716924.57</v>
      </c>
      <c r="E25" s="1702"/>
      <c r="N25" s="1680">
        <v>155868707.27</v>
      </c>
      <c r="O25" s="1681"/>
      <c r="P25" s="1682"/>
      <c r="Q25" s="714"/>
      <c r="R25" s="714"/>
      <c r="S25" s="714"/>
      <c r="T25" s="715"/>
      <c r="U25" s="714"/>
      <c r="V25" s="716"/>
      <c r="W25" s="714"/>
      <c r="X25" s="714"/>
      <c r="Y25" s="714"/>
      <c r="Z25" s="714"/>
      <c r="AA25" s="714"/>
      <c r="AB25" s="714"/>
      <c r="AC25" s="714"/>
      <c r="AD25" s="714"/>
      <c r="AE25" s="714"/>
      <c r="AF25" s="714"/>
      <c r="AG25" s="714"/>
      <c r="AH25" s="714"/>
      <c r="AI25" s="714"/>
      <c r="AJ25" s="714"/>
      <c r="AK25" s="714"/>
      <c r="AL25" s="714"/>
      <c r="AM25" s="714"/>
      <c r="AN25" s="714"/>
      <c r="AO25" s="714"/>
      <c r="AP25" s="714"/>
      <c r="AQ25" s="714"/>
      <c r="AR25" s="714"/>
      <c r="AS25" s="714"/>
      <c r="AT25" s="714"/>
      <c r="AU25" s="714"/>
      <c r="AV25" s="714"/>
      <c r="AW25" s="714"/>
      <c r="AX25" s="714"/>
      <c r="AY25" s="714"/>
      <c r="AZ25" s="714"/>
      <c r="BA25" s="714"/>
      <c r="BB25" s="714"/>
      <c r="BC25" s="714"/>
      <c r="BD25" s="714"/>
      <c r="BE25" s="714"/>
      <c r="BF25" s="714"/>
      <c r="BG25" s="714"/>
      <c r="BH25" s="714"/>
      <c r="BI25" s="714"/>
      <c r="BJ25" s="714"/>
      <c r="BK25" s="714"/>
      <c r="BL25" s="714"/>
      <c r="BM25" s="714"/>
      <c r="BN25" s="714"/>
      <c r="BO25" s="714"/>
      <c r="BP25" s="714"/>
      <c r="BQ25" s="714"/>
      <c r="BR25" s="714"/>
      <c r="BS25" s="714"/>
      <c r="BT25" s="714"/>
      <c r="BU25" s="714"/>
      <c r="BV25" s="714"/>
      <c r="BW25" s="714"/>
      <c r="BX25" s="714"/>
      <c r="BY25" s="714"/>
      <c r="BZ25" s="714"/>
      <c r="CA25" s="714"/>
      <c r="CB25" s="714"/>
      <c r="CC25" s="714"/>
      <c r="CD25" s="714"/>
      <c r="CE25" s="714"/>
      <c r="CF25" s="714"/>
      <c r="CG25" s="714"/>
      <c r="CH25" s="714"/>
      <c r="CI25" s="714"/>
      <c r="CJ25" s="714"/>
      <c r="CK25" s="714"/>
      <c r="CL25" s="714"/>
      <c r="CM25" s="714"/>
      <c r="CN25" s="714"/>
      <c r="CO25" s="714"/>
      <c r="CP25" s="714"/>
      <c r="CQ25" s="714"/>
      <c r="CR25" s="714"/>
      <c r="CS25" s="714"/>
      <c r="CT25" s="714"/>
      <c r="CU25" s="714"/>
      <c r="CV25" s="714"/>
      <c r="CW25" s="714"/>
      <c r="CX25" s="714"/>
      <c r="CY25" s="714"/>
      <c r="CZ25" s="714"/>
      <c r="DA25" s="714"/>
      <c r="DB25" s="714"/>
      <c r="DC25" s="714"/>
      <c r="DD25" s="714"/>
      <c r="DE25" s="714"/>
      <c r="DF25" s="714"/>
      <c r="DG25" s="714"/>
      <c r="DH25" s="714"/>
      <c r="DI25" s="714"/>
      <c r="DJ25" s="714"/>
      <c r="DK25" s="714"/>
      <c r="DL25" s="714"/>
      <c r="DM25" s="714"/>
      <c r="DN25" s="714"/>
      <c r="DO25" s="714"/>
      <c r="DP25" s="714"/>
      <c r="DQ25" s="714"/>
      <c r="DR25" s="714"/>
      <c r="DS25" s="714"/>
      <c r="DT25" s="714"/>
      <c r="DU25" s="714"/>
      <c r="DV25" s="714"/>
      <c r="DW25" s="714"/>
      <c r="DX25" s="714"/>
      <c r="DY25" s="714"/>
      <c r="DZ25" s="714"/>
      <c r="EA25" s="714"/>
      <c r="EB25" s="714"/>
      <c r="EC25" s="714"/>
      <c r="ED25" s="714"/>
      <c r="EE25" s="714"/>
      <c r="EF25" s="714"/>
      <c r="EG25" s="714"/>
      <c r="EH25" s="714"/>
      <c r="EI25" s="714"/>
      <c r="EJ25" s="714"/>
      <c r="EK25" s="714"/>
      <c r="EL25" s="714"/>
      <c r="EM25" s="714"/>
      <c r="EN25" s="714"/>
      <c r="EO25" s="714"/>
      <c r="EP25" s="714"/>
      <c r="EQ25" s="714"/>
      <c r="ER25" s="714"/>
      <c r="ES25" s="714"/>
      <c r="ET25" s="714"/>
      <c r="EU25" s="714"/>
      <c r="EV25" s="714"/>
      <c r="EW25" s="714"/>
      <c r="EX25" s="714"/>
    </row>
    <row r="26" spans="1:154" s="259" customFormat="1" ht="15" customHeight="1">
      <c r="A26" s="255" t="s">
        <v>330</v>
      </c>
      <c r="B26" s="1720">
        <f>'Anexo 1 _ BAL ORC'!C29</f>
        <v>41715988.13</v>
      </c>
      <c r="C26" s="1721"/>
      <c r="D26" s="1701">
        <f>'Anexo 1 _ BAL ORC'!G29</f>
        <v>12345095.08</v>
      </c>
      <c r="E26" s="1702"/>
      <c r="N26" s="1680">
        <v>5520966.92</v>
      </c>
      <c r="O26" s="1681"/>
      <c r="P26" s="1682"/>
      <c r="Q26" s="714"/>
      <c r="R26" s="714"/>
      <c r="S26" s="714"/>
      <c r="T26" s="715"/>
      <c r="U26" s="718"/>
      <c r="V26" s="714"/>
      <c r="W26" s="714"/>
      <c r="X26" s="714"/>
      <c r="Y26" s="714"/>
      <c r="Z26" s="714"/>
      <c r="AA26" s="714"/>
      <c r="AB26" s="714"/>
      <c r="AC26" s="714"/>
      <c r="AD26" s="714"/>
      <c r="AE26" s="714"/>
      <c r="AF26" s="714"/>
      <c r="AG26" s="714"/>
      <c r="AH26" s="714"/>
      <c r="AI26" s="714"/>
      <c r="AJ26" s="714"/>
      <c r="AK26" s="714"/>
      <c r="AL26" s="714"/>
      <c r="AM26" s="714"/>
      <c r="AN26" s="714"/>
      <c r="AO26" s="714"/>
      <c r="AP26" s="714"/>
      <c r="AQ26" s="714"/>
      <c r="AR26" s="714"/>
      <c r="AS26" s="714"/>
      <c r="AT26" s="714"/>
      <c r="AU26" s="714"/>
      <c r="AV26" s="714"/>
      <c r="AW26" s="714"/>
      <c r="AX26" s="714"/>
      <c r="AY26" s="714"/>
      <c r="AZ26" s="714"/>
      <c r="BA26" s="714"/>
      <c r="BB26" s="714"/>
      <c r="BC26" s="714"/>
      <c r="BD26" s="714"/>
      <c r="BE26" s="714"/>
      <c r="BF26" s="714"/>
      <c r="BG26" s="714"/>
      <c r="BH26" s="714"/>
      <c r="BI26" s="714"/>
      <c r="BJ26" s="714"/>
      <c r="BK26" s="714"/>
      <c r="BL26" s="714"/>
      <c r="BM26" s="714"/>
      <c r="BN26" s="714"/>
      <c r="BO26" s="714"/>
      <c r="BP26" s="714"/>
      <c r="BQ26" s="714"/>
      <c r="BR26" s="714"/>
      <c r="BS26" s="714"/>
      <c r="BT26" s="714"/>
      <c r="BU26" s="714"/>
      <c r="BV26" s="714"/>
      <c r="BW26" s="714"/>
      <c r="BX26" s="714"/>
      <c r="BY26" s="714"/>
      <c r="BZ26" s="714"/>
      <c r="CA26" s="714"/>
      <c r="CB26" s="714"/>
      <c r="CC26" s="714"/>
      <c r="CD26" s="714"/>
      <c r="CE26" s="714"/>
      <c r="CF26" s="714"/>
      <c r="CG26" s="714"/>
      <c r="CH26" s="714"/>
      <c r="CI26" s="714"/>
      <c r="CJ26" s="714"/>
      <c r="CK26" s="714"/>
      <c r="CL26" s="714"/>
      <c r="CM26" s="714"/>
      <c r="CN26" s="714"/>
      <c r="CO26" s="714"/>
      <c r="CP26" s="714"/>
      <c r="CQ26" s="714"/>
      <c r="CR26" s="714"/>
      <c r="CS26" s="714"/>
      <c r="CT26" s="714"/>
      <c r="CU26" s="714"/>
      <c r="CV26" s="714"/>
      <c r="CW26" s="714"/>
      <c r="CX26" s="714"/>
      <c r="CY26" s="714"/>
      <c r="CZ26" s="714"/>
      <c r="DA26" s="714"/>
      <c r="DB26" s="714"/>
      <c r="DC26" s="714"/>
      <c r="DD26" s="714"/>
      <c r="DE26" s="714"/>
      <c r="DF26" s="714"/>
      <c r="DG26" s="714"/>
      <c r="DH26" s="714"/>
      <c r="DI26" s="714"/>
      <c r="DJ26" s="714"/>
      <c r="DK26" s="714"/>
      <c r="DL26" s="714"/>
      <c r="DM26" s="714"/>
      <c r="DN26" s="714"/>
      <c r="DO26" s="714"/>
      <c r="DP26" s="714"/>
      <c r="DQ26" s="714"/>
      <c r="DR26" s="714"/>
      <c r="DS26" s="714"/>
      <c r="DT26" s="714"/>
      <c r="DU26" s="714"/>
      <c r="DV26" s="714"/>
      <c r="DW26" s="714"/>
      <c r="DX26" s="714"/>
      <c r="DY26" s="714"/>
      <c r="DZ26" s="714"/>
      <c r="EA26" s="714"/>
      <c r="EB26" s="714"/>
      <c r="EC26" s="714"/>
      <c r="ED26" s="714"/>
      <c r="EE26" s="714"/>
      <c r="EF26" s="714"/>
      <c r="EG26" s="714"/>
      <c r="EH26" s="714"/>
      <c r="EI26" s="714"/>
      <c r="EJ26" s="714"/>
      <c r="EK26" s="714"/>
      <c r="EL26" s="714"/>
      <c r="EM26" s="714"/>
      <c r="EN26" s="714"/>
      <c r="EO26" s="714"/>
      <c r="EP26" s="714"/>
      <c r="EQ26" s="714"/>
      <c r="ER26" s="714"/>
      <c r="ES26" s="714"/>
      <c r="ET26" s="714"/>
      <c r="EU26" s="714"/>
      <c r="EV26" s="714"/>
      <c r="EW26" s="714"/>
      <c r="EX26" s="714"/>
    </row>
    <row r="27" spans="1:154" s="386" customFormat="1" ht="15" customHeight="1">
      <c r="A27" s="255" t="s">
        <v>331</v>
      </c>
      <c r="B27" s="1680">
        <f>1809388195.13-1054078376.13-221883709</f>
        <v>533426110.0000001</v>
      </c>
      <c r="C27" s="1685"/>
      <c r="D27" s="1708">
        <f>846331876.66-349921221.71-97485712.39</f>
        <v>398924942.56</v>
      </c>
      <c r="E27" s="1709"/>
      <c r="N27" s="1680">
        <v>378276150.42</v>
      </c>
      <c r="O27" s="1681"/>
      <c r="P27" s="1682"/>
      <c r="Q27" s="714"/>
      <c r="R27" s="714"/>
      <c r="S27" s="714"/>
      <c r="T27" s="716"/>
      <c r="U27" s="716"/>
      <c r="V27" s="716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4"/>
      <c r="AJ27" s="714"/>
      <c r="AK27" s="714"/>
      <c r="AL27" s="714"/>
      <c r="AM27" s="714"/>
      <c r="AN27" s="714"/>
      <c r="AO27" s="714"/>
      <c r="AP27" s="714"/>
      <c r="AQ27" s="714"/>
      <c r="AR27" s="714"/>
      <c r="AS27" s="714"/>
      <c r="AT27" s="714"/>
      <c r="AU27" s="714"/>
      <c r="AV27" s="714"/>
      <c r="AW27" s="714"/>
      <c r="AX27" s="714"/>
      <c r="AY27" s="714"/>
      <c r="AZ27" s="714"/>
      <c r="BA27" s="714"/>
      <c r="BB27" s="714"/>
      <c r="BC27" s="714"/>
      <c r="BD27" s="714"/>
      <c r="BE27" s="714"/>
      <c r="BF27" s="714"/>
      <c r="BG27" s="714"/>
      <c r="BH27" s="714"/>
      <c r="BI27" s="714"/>
      <c r="BJ27" s="714"/>
      <c r="BK27" s="714"/>
      <c r="BL27" s="714"/>
      <c r="BM27" s="714"/>
      <c r="BN27" s="714"/>
      <c r="BO27" s="714"/>
      <c r="BP27" s="714"/>
      <c r="BQ27" s="714"/>
      <c r="BR27" s="714"/>
      <c r="BS27" s="714"/>
      <c r="BT27" s="714"/>
      <c r="BU27" s="714"/>
      <c r="BV27" s="714"/>
      <c r="BW27" s="714"/>
      <c r="BX27" s="714"/>
      <c r="BY27" s="714"/>
      <c r="BZ27" s="714"/>
      <c r="CA27" s="714"/>
      <c r="CB27" s="714"/>
      <c r="CC27" s="714"/>
      <c r="CD27" s="714"/>
      <c r="CE27" s="714"/>
      <c r="CF27" s="714"/>
      <c r="CG27" s="714"/>
      <c r="CH27" s="714"/>
      <c r="CI27" s="714"/>
      <c r="CJ27" s="714"/>
      <c r="CK27" s="714"/>
      <c r="CL27" s="714"/>
      <c r="CM27" s="714"/>
      <c r="CN27" s="714"/>
      <c r="CO27" s="714"/>
      <c r="CP27" s="714"/>
      <c r="CQ27" s="714"/>
      <c r="CR27" s="714"/>
      <c r="CS27" s="714"/>
      <c r="CT27" s="714"/>
      <c r="CU27" s="714"/>
      <c r="CV27" s="714"/>
      <c r="CW27" s="714"/>
      <c r="CX27" s="714"/>
      <c r="CY27" s="714"/>
      <c r="CZ27" s="714"/>
      <c r="DA27" s="714"/>
      <c r="DB27" s="714"/>
      <c r="DC27" s="714"/>
      <c r="DD27" s="714"/>
      <c r="DE27" s="714"/>
      <c r="DF27" s="714"/>
      <c r="DG27" s="714"/>
      <c r="DH27" s="714"/>
      <c r="DI27" s="714"/>
      <c r="DJ27" s="714"/>
      <c r="DK27" s="714"/>
      <c r="DL27" s="714"/>
      <c r="DM27" s="714"/>
      <c r="DN27" s="714"/>
      <c r="DO27" s="714"/>
      <c r="DP27" s="714"/>
      <c r="DQ27" s="714"/>
      <c r="DR27" s="714"/>
      <c r="DS27" s="714"/>
      <c r="DT27" s="714"/>
      <c r="DU27" s="714"/>
      <c r="DV27" s="714"/>
      <c r="DW27" s="714"/>
      <c r="DX27" s="714"/>
      <c r="DY27" s="714"/>
      <c r="DZ27" s="714"/>
      <c r="EA27" s="714"/>
      <c r="EB27" s="714"/>
      <c r="EC27" s="714"/>
      <c r="ED27" s="714"/>
      <c r="EE27" s="714"/>
      <c r="EF27" s="714"/>
      <c r="EG27" s="714"/>
      <c r="EH27" s="714"/>
      <c r="EI27" s="714"/>
      <c r="EJ27" s="714"/>
      <c r="EK27" s="714"/>
      <c r="EL27" s="714"/>
      <c r="EM27" s="714"/>
      <c r="EN27" s="714"/>
      <c r="EO27" s="714"/>
      <c r="EP27" s="714"/>
      <c r="EQ27" s="714"/>
      <c r="ER27" s="714"/>
      <c r="ES27" s="714"/>
      <c r="ET27" s="714"/>
      <c r="EU27" s="714"/>
      <c r="EV27" s="714"/>
      <c r="EW27" s="714"/>
      <c r="EX27" s="714"/>
    </row>
    <row r="28" spans="1:154" s="264" customFormat="1" ht="15" customHeight="1">
      <c r="A28" s="530" t="s">
        <v>332</v>
      </c>
      <c r="B28" s="1677">
        <f>B29+B30</f>
        <v>63607781</v>
      </c>
      <c r="C28" s="1686"/>
      <c r="D28" s="1710">
        <f>D29+D30</f>
        <v>34448654.59</v>
      </c>
      <c r="E28" s="1711"/>
      <c r="N28" s="1677">
        <f>N29+N30</f>
        <v>29202634.33</v>
      </c>
      <c r="O28" s="1678"/>
      <c r="P28" s="1679"/>
      <c r="Q28" s="719"/>
      <c r="R28" s="719"/>
      <c r="S28" s="719"/>
      <c r="T28" s="721"/>
      <c r="U28" s="719"/>
      <c r="V28" s="719"/>
      <c r="W28" s="719"/>
      <c r="X28" s="719"/>
      <c r="Y28" s="719"/>
      <c r="Z28" s="719"/>
      <c r="AA28" s="719"/>
      <c r="AB28" s="719"/>
      <c r="AC28" s="719"/>
      <c r="AD28" s="719"/>
      <c r="AE28" s="719"/>
      <c r="AF28" s="719"/>
      <c r="AG28" s="719"/>
      <c r="AH28" s="719"/>
      <c r="AI28" s="719"/>
      <c r="AJ28" s="719"/>
      <c r="AK28" s="719"/>
      <c r="AL28" s="719"/>
      <c r="AM28" s="719"/>
      <c r="AN28" s="719"/>
      <c r="AO28" s="719"/>
      <c r="AP28" s="719"/>
      <c r="AQ28" s="719"/>
      <c r="AR28" s="719"/>
      <c r="AS28" s="719"/>
      <c r="AT28" s="719"/>
      <c r="AU28" s="719"/>
      <c r="AV28" s="719"/>
      <c r="AW28" s="719"/>
      <c r="AX28" s="719"/>
      <c r="AY28" s="719"/>
      <c r="AZ28" s="719"/>
      <c r="BA28" s="719"/>
      <c r="BB28" s="719"/>
      <c r="BC28" s="719"/>
      <c r="BD28" s="719"/>
      <c r="BE28" s="719"/>
      <c r="BF28" s="719"/>
      <c r="BG28" s="719"/>
      <c r="BH28" s="719"/>
      <c r="BI28" s="719"/>
      <c r="BJ28" s="719"/>
      <c r="BK28" s="719"/>
      <c r="BL28" s="719"/>
      <c r="BM28" s="719"/>
      <c r="BN28" s="719"/>
      <c r="BO28" s="719"/>
      <c r="BP28" s="719"/>
      <c r="BQ28" s="719"/>
      <c r="BR28" s="719"/>
      <c r="BS28" s="719"/>
      <c r="BT28" s="719"/>
      <c r="BU28" s="719"/>
      <c r="BV28" s="719"/>
      <c r="BW28" s="719"/>
      <c r="BX28" s="719"/>
      <c r="BY28" s="719"/>
      <c r="BZ28" s="719"/>
      <c r="CA28" s="719"/>
      <c r="CB28" s="719"/>
      <c r="CC28" s="719"/>
      <c r="CD28" s="719"/>
      <c r="CE28" s="719"/>
      <c r="CF28" s="719"/>
      <c r="CG28" s="719"/>
      <c r="CH28" s="719"/>
      <c r="CI28" s="719"/>
      <c r="CJ28" s="719"/>
      <c r="CK28" s="719"/>
      <c r="CL28" s="719"/>
      <c r="CM28" s="719"/>
      <c r="CN28" s="719"/>
      <c r="CO28" s="719"/>
      <c r="CP28" s="719"/>
      <c r="CQ28" s="719"/>
      <c r="CR28" s="719"/>
      <c r="CS28" s="719"/>
      <c r="CT28" s="719"/>
      <c r="CU28" s="719"/>
      <c r="CV28" s="719"/>
      <c r="CW28" s="719"/>
      <c r="CX28" s="719"/>
      <c r="CY28" s="719"/>
      <c r="CZ28" s="719"/>
      <c r="DA28" s="719"/>
      <c r="DB28" s="719"/>
      <c r="DC28" s="719"/>
      <c r="DD28" s="719"/>
      <c r="DE28" s="719"/>
      <c r="DF28" s="719"/>
      <c r="DG28" s="719"/>
      <c r="DH28" s="719"/>
      <c r="DI28" s="719"/>
      <c r="DJ28" s="719"/>
      <c r="DK28" s="719"/>
      <c r="DL28" s="719"/>
      <c r="DM28" s="719"/>
      <c r="DN28" s="719"/>
      <c r="DO28" s="719"/>
      <c r="DP28" s="719"/>
      <c r="DQ28" s="719"/>
      <c r="DR28" s="719"/>
      <c r="DS28" s="719"/>
      <c r="DT28" s="719"/>
      <c r="DU28" s="719"/>
      <c r="DV28" s="719"/>
      <c r="DW28" s="719"/>
      <c r="DX28" s="719"/>
      <c r="DY28" s="719"/>
      <c r="DZ28" s="719"/>
      <c r="EA28" s="719"/>
      <c r="EB28" s="719"/>
      <c r="EC28" s="719"/>
      <c r="ED28" s="719"/>
      <c r="EE28" s="719"/>
      <c r="EF28" s="719"/>
      <c r="EG28" s="719"/>
      <c r="EH28" s="719"/>
      <c r="EI28" s="719"/>
      <c r="EJ28" s="719"/>
      <c r="EK28" s="719"/>
      <c r="EL28" s="719"/>
      <c r="EM28" s="719"/>
      <c r="EN28" s="719"/>
      <c r="EO28" s="719"/>
      <c r="EP28" s="719"/>
      <c r="EQ28" s="719"/>
      <c r="ER28" s="719"/>
      <c r="ES28" s="719"/>
      <c r="ET28" s="719"/>
      <c r="EU28" s="719"/>
      <c r="EV28" s="719"/>
      <c r="EW28" s="719"/>
      <c r="EX28" s="719"/>
    </row>
    <row r="29" spans="1:154" ht="15" customHeight="1">
      <c r="A29" s="258" t="s">
        <v>333</v>
      </c>
      <c r="B29" s="1680">
        <f>'Anexo 1 _ BAL ORC'!C33</f>
        <v>33558462</v>
      </c>
      <c r="C29" s="1685"/>
      <c r="D29" s="1701">
        <f>'Anexo 1 _ BAL ORC'!G33</f>
        <v>13717526.25</v>
      </c>
      <c r="E29" s="1702"/>
      <c r="N29" s="1680">
        <v>15581530.1</v>
      </c>
      <c r="O29" s="1681"/>
      <c r="P29" s="1682"/>
      <c r="Q29" s="714"/>
      <c r="R29" s="714"/>
      <c r="S29" s="714"/>
      <c r="T29" s="714"/>
      <c r="U29" s="714"/>
      <c r="V29" s="714"/>
      <c r="W29" s="714"/>
      <c r="X29" s="714"/>
      <c r="Y29" s="714"/>
      <c r="Z29" s="714"/>
      <c r="AA29" s="714"/>
      <c r="AB29" s="714"/>
      <c r="AC29" s="714"/>
      <c r="AD29" s="714"/>
      <c r="AE29" s="714"/>
      <c r="AF29" s="714"/>
      <c r="AG29" s="714"/>
      <c r="AH29" s="714"/>
      <c r="AI29" s="714"/>
      <c r="AJ29" s="714"/>
      <c r="AK29" s="714"/>
      <c r="AL29" s="714"/>
      <c r="AM29" s="714"/>
      <c r="AN29" s="714"/>
      <c r="AO29" s="714"/>
      <c r="AP29" s="714"/>
      <c r="AQ29" s="714"/>
      <c r="AR29" s="714"/>
      <c r="AS29" s="714"/>
      <c r="AT29" s="714"/>
      <c r="AU29" s="714"/>
      <c r="AV29" s="714"/>
      <c r="AW29" s="714"/>
      <c r="AX29" s="714"/>
      <c r="AY29" s="714"/>
      <c r="AZ29" s="714"/>
      <c r="BA29" s="714"/>
      <c r="BB29" s="714"/>
      <c r="BC29" s="714"/>
      <c r="BD29" s="714"/>
      <c r="BE29" s="714"/>
      <c r="BF29" s="714"/>
      <c r="BG29" s="714"/>
      <c r="BH29" s="714"/>
      <c r="BI29" s="714"/>
      <c r="BJ29" s="714"/>
      <c r="BK29" s="714"/>
      <c r="BL29" s="714"/>
      <c r="BM29" s="714"/>
      <c r="BN29" s="714"/>
      <c r="BO29" s="714"/>
      <c r="BP29" s="714"/>
      <c r="BQ29" s="714"/>
      <c r="BR29" s="714"/>
      <c r="BS29" s="714"/>
      <c r="BT29" s="714"/>
      <c r="BU29" s="714"/>
      <c r="BV29" s="714"/>
      <c r="BW29" s="714"/>
      <c r="BX29" s="714"/>
      <c r="BY29" s="714"/>
      <c r="BZ29" s="714"/>
      <c r="CA29" s="714"/>
      <c r="CB29" s="714"/>
      <c r="CC29" s="714"/>
      <c r="CD29" s="714"/>
      <c r="CE29" s="714"/>
      <c r="CF29" s="714"/>
      <c r="CG29" s="714"/>
      <c r="CH29" s="714"/>
      <c r="CI29" s="714"/>
      <c r="CJ29" s="714"/>
      <c r="CK29" s="714"/>
      <c r="CL29" s="714"/>
      <c r="CM29" s="714"/>
      <c r="CN29" s="714"/>
      <c r="CO29" s="714"/>
      <c r="CP29" s="714"/>
      <c r="CQ29" s="714"/>
      <c r="CR29" s="714"/>
      <c r="CS29" s="714"/>
      <c r="CT29" s="714"/>
      <c r="CU29" s="714"/>
      <c r="CV29" s="714"/>
      <c r="CW29" s="714"/>
      <c r="CX29" s="714"/>
      <c r="CY29" s="714"/>
      <c r="CZ29" s="714"/>
      <c r="DA29" s="714"/>
      <c r="DB29" s="714"/>
      <c r="DC29" s="714"/>
      <c r="DD29" s="714"/>
      <c r="DE29" s="714"/>
      <c r="DF29" s="714"/>
      <c r="DG29" s="714"/>
      <c r="DH29" s="714"/>
      <c r="DI29" s="714"/>
      <c r="DJ29" s="714"/>
      <c r="DK29" s="714"/>
      <c r="DL29" s="714"/>
      <c r="DM29" s="714"/>
      <c r="DN29" s="714"/>
      <c r="DO29" s="714"/>
      <c r="DP29" s="714"/>
      <c r="DQ29" s="714"/>
      <c r="DR29" s="714"/>
      <c r="DS29" s="714"/>
      <c r="DT29" s="714"/>
      <c r="DU29" s="714"/>
      <c r="DV29" s="714"/>
      <c r="DW29" s="714"/>
      <c r="DX29" s="714"/>
      <c r="DY29" s="714"/>
      <c r="DZ29" s="714"/>
      <c r="EA29" s="714"/>
      <c r="EB29" s="714"/>
      <c r="EC29" s="714"/>
      <c r="ED29" s="714"/>
      <c r="EE29" s="714"/>
      <c r="EF29" s="714"/>
      <c r="EG29" s="714"/>
      <c r="EH29" s="714"/>
      <c r="EI29" s="714"/>
      <c r="EJ29" s="714"/>
      <c r="EK29" s="714"/>
      <c r="EL29" s="714"/>
      <c r="EM29" s="714"/>
      <c r="EN29" s="714"/>
      <c r="EO29" s="714"/>
      <c r="EP29" s="714"/>
      <c r="EQ29" s="714"/>
      <c r="ER29" s="714"/>
      <c r="ES29" s="714"/>
      <c r="ET29" s="714"/>
      <c r="EU29" s="714"/>
      <c r="EV29" s="714"/>
      <c r="EW29" s="714"/>
      <c r="EX29" s="714"/>
    </row>
    <row r="30" spans="1:154" ht="15" customHeight="1">
      <c r="A30" s="260" t="s">
        <v>334</v>
      </c>
      <c r="B30" s="1719">
        <f>63457679-33558462+150102</f>
        <v>30049319</v>
      </c>
      <c r="C30" s="1685"/>
      <c r="D30" s="1701">
        <f>34260857.36-D29+187797.23</f>
        <v>20731128.34</v>
      </c>
      <c r="E30" s="1702"/>
      <c r="N30" s="1680">
        <v>13621104.23</v>
      </c>
      <c r="O30" s="1681"/>
      <c r="P30" s="1682"/>
      <c r="Q30" s="714"/>
      <c r="R30" s="714"/>
      <c r="S30" s="714"/>
      <c r="T30" s="715"/>
      <c r="U30" s="714"/>
      <c r="V30" s="714"/>
      <c r="W30" s="714"/>
      <c r="X30" s="714"/>
      <c r="Y30" s="714"/>
      <c r="Z30" s="714"/>
      <c r="AA30" s="714"/>
      <c r="AB30" s="714"/>
      <c r="AC30" s="714"/>
      <c r="AD30" s="714"/>
      <c r="AE30" s="714"/>
      <c r="AF30" s="714"/>
      <c r="AG30" s="714"/>
      <c r="AH30" s="714"/>
      <c r="AI30" s="714"/>
      <c r="AJ30" s="714"/>
      <c r="AK30" s="714"/>
      <c r="AL30" s="714"/>
      <c r="AM30" s="714"/>
      <c r="AN30" s="714"/>
      <c r="AO30" s="714"/>
      <c r="AP30" s="714"/>
      <c r="AQ30" s="714"/>
      <c r="AR30" s="714"/>
      <c r="AS30" s="714"/>
      <c r="AT30" s="714"/>
      <c r="AU30" s="714"/>
      <c r="AV30" s="714"/>
      <c r="AW30" s="714"/>
      <c r="AX30" s="714"/>
      <c r="AY30" s="714"/>
      <c r="AZ30" s="714"/>
      <c r="BA30" s="714"/>
      <c r="BB30" s="714"/>
      <c r="BC30" s="714"/>
      <c r="BD30" s="714"/>
      <c r="BE30" s="714"/>
      <c r="BF30" s="714"/>
      <c r="BG30" s="714"/>
      <c r="BH30" s="714"/>
      <c r="BI30" s="714"/>
      <c r="BJ30" s="714"/>
      <c r="BK30" s="714"/>
      <c r="BL30" s="714"/>
      <c r="BM30" s="714"/>
      <c r="BN30" s="714"/>
      <c r="BO30" s="714"/>
      <c r="BP30" s="714"/>
      <c r="BQ30" s="714"/>
      <c r="BR30" s="714"/>
      <c r="BS30" s="714"/>
      <c r="BT30" s="714"/>
      <c r="BU30" s="714"/>
      <c r="BV30" s="714"/>
      <c r="BW30" s="714"/>
      <c r="BX30" s="714"/>
      <c r="BY30" s="714"/>
      <c r="BZ30" s="714"/>
      <c r="CA30" s="714"/>
      <c r="CB30" s="714"/>
      <c r="CC30" s="714"/>
      <c r="CD30" s="714"/>
      <c r="CE30" s="714"/>
      <c r="CF30" s="714"/>
      <c r="CG30" s="714"/>
      <c r="CH30" s="714"/>
      <c r="CI30" s="714"/>
      <c r="CJ30" s="714"/>
      <c r="CK30" s="714"/>
      <c r="CL30" s="714"/>
      <c r="CM30" s="714"/>
      <c r="CN30" s="714"/>
      <c r="CO30" s="714"/>
      <c r="CP30" s="714"/>
      <c r="CQ30" s="714"/>
      <c r="CR30" s="714"/>
      <c r="CS30" s="714"/>
      <c r="CT30" s="714"/>
      <c r="CU30" s="714"/>
      <c r="CV30" s="714"/>
      <c r="CW30" s="714"/>
      <c r="CX30" s="714"/>
      <c r="CY30" s="714"/>
      <c r="CZ30" s="714"/>
      <c r="DA30" s="714"/>
      <c r="DB30" s="714"/>
      <c r="DC30" s="714"/>
      <c r="DD30" s="714"/>
      <c r="DE30" s="714"/>
      <c r="DF30" s="714"/>
      <c r="DG30" s="714"/>
      <c r="DH30" s="714"/>
      <c r="DI30" s="714"/>
      <c r="DJ30" s="714"/>
      <c r="DK30" s="714"/>
      <c r="DL30" s="714"/>
      <c r="DM30" s="714"/>
      <c r="DN30" s="714"/>
      <c r="DO30" s="714"/>
      <c r="DP30" s="714"/>
      <c r="DQ30" s="714"/>
      <c r="DR30" s="714"/>
      <c r="DS30" s="714"/>
      <c r="DT30" s="714"/>
      <c r="DU30" s="714"/>
      <c r="DV30" s="714"/>
      <c r="DW30" s="714"/>
      <c r="DX30" s="714"/>
      <c r="DY30" s="714"/>
      <c r="DZ30" s="714"/>
      <c r="EA30" s="714"/>
      <c r="EB30" s="714"/>
      <c r="EC30" s="714"/>
      <c r="ED30" s="714"/>
      <c r="EE30" s="714"/>
      <c r="EF30" s="714"/>
      <c r="EG30" s="714"/>
      <c r="EH30" s="714"/>
      <c r="EI30" s="714"/>
      <c r="EJ30" s="714"/>
      <c r="EK30" s="714"/>
      <c r="EL30" s="714"/>
      <c r="EM30" s="714"/>
      <c r="EN30" s="714"/>
      <c r="EO30" s="714"/>
      <c r="EP30" s="714"/>
      <c r="EQ30" s="714"/>
      <c r="ER30" s="714"/>
      <c r="ES30" s="714"/>
      <c r="ET30" s="714"/>
      <c r="EU30" s="714"/>
      <c r="EV30" s="714"/>
      <c r="EW30" s="714"/>
      <c r="EX30" s="714"/>
    </row>
    <row r="31" spans="1:154" ht="15" customHeight="1">
      <c r="A31" s="261" t="s">
        <v>335</v>
      </c>
      <c r="B31" s="1677">
        <f>B32+B33+B34+B35+B38</f>
        <v>162958052</v>
      </c>
      <c r="C31" s="1686"/>
      <c r="D31" s="1710">
        <f>D32+D33+D34+D35+D38</f>
        <v>11909935.620000001</v>
      </c>
      <c r="E31" s="1711"/>
      <c r="N31" s="1677">
        <f>N32+N33+N34+N35++N38</f>
        <v>3361392.9</v>
      </c>
      <c r="O31" s="1678"/>
      <c r="P31" s="1679"/>
      <c r="Q31" s="714"/>
      <c r="R31" s="714"/>
      <c r="S31" s="714"/>
      <c r="T31" s="718"/>
      <c r="U31" s="714"/>
      <c r="V31" s="714"/>
      <c r="W31" s="714"/>
      <c r="X31" s="714"/>
      <c r="Y31" s="714"/>
      <c r="Z31" s="714"/>
      <c r="AA31" s="714"/>
      <c r="AB31" s="714"/>
      <c r="AC31" s="714"/>
      <c r="AD31" s="714"/>
      <c r="AE31" s="714"/>
      <c r="AF31" s="714"/>
      <c r="AG31" s="714"/>
      <c r="AH31" s="714"/>
      <c r="AI31" s="714"/>
      <c r="AJ31" s="714"/>
      <c r="AK31" s="714"/>
      <c r="AL31" s="714"/>
      <c r="AM31" s="714"/>
      <c r="AN31" s="714"/>
      <c r="AO31" s="714"/>
      <c r="AP31" s="714"/>
      <c r="AQ31" s="714"/>
      <c r="AR31" s="714"/>
      <c r="AS31" s="714"/>
      <c r="AT31" s="714"/>
      <c r="AU31" s="714"/>
      <c r="AV31" s="714"/>
      <c r="AW31" s="714"/>
      <c r="AX31" s="714"/>
      <c r="AY31" s="714"/>
      <c r="AZ31" s="714"/>
      <c r="BA31" s="714"/>
      <c r="BB31" s="714"/>
      <c r="BC31" s="714"/>
      <c r="BD31" s="714"/>
      <c r="BE31" s="714"/>
      <c r="BF31" s="714"/>
      <c r="BG31" s="714"/>
      <c r="BH31" s="714"/>
      <c r="BI31" s="714"/>
      <c r="BJ31" s="714"/>
      <c r="BK31" s="714"/>
      <c r="BL31" s="714"/>
      <c r="BM31" s="714"/>
      <c r="BN31" s="714"/>
      <c r="BO31" s="714"/>
      <c r="BP31" s="714"/>
      <c r="BQ31" s="714"/>
      <c r="BR31" s="714"/>
      <c r="BS31" s="714"/>
      <c r="BT31" s="714"/>
      <c r="BU31" s="714"/>
      <c r="BV31" s="714"/>
      <c r="BW31" s="714"/>
      <c r="BX31" s="714"/>
      <c r="BY31" s="714"/>
      <c r="BZ31" s="714"/>
      <c r="CA31" s="714"/>
      <c r="CB31" s="714"/>
      <c r="CC31" s="714"/>
      <c r="CD31" s="714"/>
      <c r="CE31" s="714"/>
      <c r="CF31" s="714"/>
      <c r="CG31" s="714"/>
      <c r="CH31" s="714"/>
      <c r="CI31" s="714"/>
      <c r="CJ31" s="714"/>
      <c r="CK31" s="714"/>
      <c r="CL31" s="714"/>
      <c r="CM31" s="714"/>
      <c r="CN31" s="714"/>
      <c r="CO31" s="714"/>
      <c r="CP31" s="714"/>
      <c r="CQ31" s="714"/>
      <c r="CR31" s="714"/>
      <c r="CS31" s="714"/>
      <c r="CT31" s="714"/>
      <c r="CU31" s="714"/>
      <c r="CV31" s="714"/>
      <c r="CW31" s="714"/>
      <c r="CX31" s="714"/>
      <c r="CY31" s="714"/>
      <c r="CZ31" s="714"/>
      <c r="DA31" s="714"/>
      <c r="DB31" s="714"/>
      <c r="DC31" s="714"/>
      <c r="DD31" s="714"/>
      <c r="DE31" s="714"/>
      <c r="DF31" s="714"/>
      <c r="DG31" s="714"/>
      <c r="DH31" s="714"/>
      <c r="DI31" s="714"/>
      <c r="DJ31" s="714"/>
      <c r="DK31" s="714"/>
      <c r="DL31" s="714"/>
      <c r="DM31" s="714"/>
      <c r="DN31" s="714"/>
      <c r="DO31" s="714"/>
      <c r="DP31" s="714"/>
      <c r="DQ31" s="714"/>
      <c r="DR31" s="714"/>
      <c r="DS31" s="714"/>
      <c r="DT31" s="714"/>
      <c r="DU31" s="714"/>
      <c r="DV31" s="714"/>
      <c r="DW31" s="714"/>
      <c r="DX31" s="714"/>
      <c r="DY31" s="714"/>
      <c r="DZ31" s="714"/>
      <c r="EA31" s="714"/>
      <c r="EB31" s="714"/>
      <c r="EC31" s="714"/>
      <c r="ED31" s="714"/>
      <c r="EE31" s="714"/>
      <c r="EF31" s="714"/>
      <c r="EG31" s="714"/>
      <c r="EH31" s="714"/>
      <c r="EI31" s="714"/>
      <c r="EJ31" s="714"/>
      <c r="EK31" s="714"/>
      <c r="EL31" s="714"/>
      <c r="EM31" s="714"/>
      <c r="EN31" s="714"/>
      <c r="EO31" s="714"/>
      <c r="EP31" s="714"/>
      <c r="EQ31" s="714"/>
      <c r="ER31" s="714"/>
      <c r="ES31" s="714"/>
      <c r="ET31" s="714"/>
      <c r="EU31" s="714"/>
      <c r="EV31" s="714"/>
      <c r="EW31" s="714"/>
      <c r="EX31" s="714"/>
    </row>
    <row r="32" spans="1:154" ht="15" customHeight="1">
      <c r="A32" s="263" t="s">
        <v>336</v>
      </c>
      <c r="B32" s="1680">
        <f>'Anexo 1 _ BAL ORC'!C36</f>
        <v>110193363</v>
      </c>
      <c r="C32" s="1685"/>
      <c r="D32" s="1701">
        <f>'Anexo 1 _ BAL ORC'!G36</f>
        <v>11264236.59</v>
      </c>
      <c r="E32" s="1702"/>
      <c r="N32" s="1680">
        <v>3359501</v>
      </c>
      <c r="O32" s="1681"/>
      <c r="P32" s="1682"/>
      <c r="Q32" s="714"/>
      <c r="R32" s="714"/>
      <c r="S32" s="714"/>
      <c r="T32" s="718"/>
      <c r="U32" s="714"/>
      <c r="V32" s="714"/>
      <c r="W32" s="714"/>
      <c r="X32" s="714"/>
      <c r="Y32" s="714"/>
      <c r="Z32" s="714"/>
      <c r="AA32" s="714"/>
      <c r="AB32" s="714"/>
      <c r="AC32" s="714"/>
      <c r="AD32" s="714"/>
      <c r="AE32" s="714"/>
      <c r="AF32" s="714"/>
      <c r="AG32" s="714"/>
      <c r="AH32" s="714"/>
      <c r="AI32" s="714"/>
      <c r="AJ32" s="714"/>
      <c r="AK32" s="714"/>
      <c r="AL32" s="714"/>
      <c r="AM32" s="714"/>
      <c r="AN32" s="714"/>
      <c r="AO32" s="714"/>
      <c r="AP32" s="714"/>
      <c r="AQ32" s="714"/>
      <c r="AR32" s="714"/>
      <c r="AS32" s="714"/>
      <c r="AT32" s="714"/>
      <c r="AU32" s="714"/>
      <c r="AV32" s="714"/>
      <c r="AW32" s="714"/>
      <c r="AX32" s="714"/>
      <c r="AY32" s="714"/>
      <c r="AZ32" s="714"/>
      <c r="BA32" s="714"/>
      <c r="BB32" s="714"/>
      <c r="BC32" s="714"/>
      <c r="BD32" s="714"/>
      <c r="BE32" s="714"/>
      <c r="BF32" s="714"/>
      <c r="BG32" s="714"/>
      <c r="BH32" s="714"/>
      <c r="BI32" s="714"/>
      <c r="BJ32" s="714"/>
      <c r="BK32" s="714"/>
      <c r="BL32" s="714"/>
      <c r="BM32" s="714"/>
      <c r="BN32" s="714"/>
      <c r="BO32" s="714"/>
      <c r="BP32" s="714"/>
      <c r="BQ32" s="714"/>
      <c r="BR32" s="714"/>
      <c r="BS32" s="714"/>
      <c r="BT32" s="714"/>
      <c r="BU32" s="714"/>
      <c r="BV32" s="714"/>
      <c r="BW32" s="714"/>
      <c r="BX32" s="714"/>
      <c r="BY32" s="714"/>
      <c r="BZ32" s="714"/>
      <c r="CA32" s="714"/>
      <c r="CB32" s="714"/>
      <c r="CC32" s="714"/>
      <c r="CD32" s="714"/>
      <c r="CE32" s="714"/>
      <c r="CF32" s="714"/>
      <c r="CG32" s="714"/>
      <c r="CH32" s="714"/>
      <c r="CI32" s="714"/>
      <c r="CJ32" s="714"/>
      <c r="CK32" s="714"/>
      <c r="CL32" s="714"/>
      <c r="CM32" s="714"/>
      <c r="CN32" s="714"/>
      <c r="CO32" s="714"/>
      <c r="CP32" s="714"/>
      <c r="CQ32" s="714"/>
      <c r="CR32" s="714"/>
      <c r="CS32" s="714"/>
      <c r="CT32" s="714"/>
      <c r="CU32" s="714"/>
      <c r="CV32" s="714"/>
      <c r="CW32" s="714"/>
      <c r="CX32" s="714"/>
      <c r="CY32" s="714"/>
      <c r="CZ32" s="714"/>
      <c r="DA32" s="714"/>
      <c r="DB32" s="714"/>
      <c r="DC32" s="714"/>
      <c r="DD32" s="714"/>
      <c r="DE32" s="714"/>
      <c r="DF32" s="714"/>
      <c r="DG32" s="714"/>
      <c r="DH32" s="714"/>
      <c r="DI32" s="714"/>
      <c r="DJ32" s="714"/>
      <c r="DK32" s="714"/>
      <c r="DL32" s="714"/>
      <c r="DM32" s="714"/>
      <c r="DN32" s="714"/>
      <c r="DO32" s="714"/>
      <c r="DP32" s="714"/>
      <c r="DQ32" s="714"/>
      <c r="DR32" s="714"/>
      <c r="DS32" s="714"/>
      <c r="DT32" s="714"/>
      <c r="DU32" s="714"/>
      <c r="DV32" s="714"/>
      <c r="DW32" s="714"/>
      <c r="DX32" s="714"/>
      <c r="DY32" s="714"/>
      <c r="DZ32" s="714"/>
      <c r="EA32" s="714"/>
      <c r="EB32" s="714"/>
      <c r="EC32" s="714"/>
      <c r="ED32" s="714"/>
      <c r="EE32" s="714"/>
      <c r="EF32" s="714"/>
      <c r="EG32" s="714"/>
      <c r="EH32" s="714"/>
      <c r="EI32" s="714"/>
      <c r="EJ32" s="714"/>
      <c r="EK32" s="714"/>
      <c r="EL32" s="714"/>
      <c r="EM32" s="714"/>
      <c r="EN32" s="714"/>
      <c r="EO32" s="714"/>
      <c r="EP32" s="714"/>
      <c r="EQ32" s="714"/>
      <c r="ER32" s="714"/>
      <c r="ES32" s="714"/>
      <c r="ET32" s="714"/>
      <c r="EU32" s="714"/>
      <c r="EV32" s="714"/>
      <c r="EW32" s="714"/>
      <c r="EX32" s="714"/>
    </row>
    <row r="33" spans="1:154" ht="15" customHeight="1">
      <c r="A33" s="263" t="s">
        <v>337</v>
      </c>
      <c r="B33" s="1680">
        <v>0</v>
      </c>
      <c r="C33" s="1685"/>
      <c r="D33" s="1701">
        <v>0</v>
      </c>
      <c r="E33" s="1702"/>
      <c r="N33" s="1680"/>
      <c r="O33" s="1681"/>
      <c r="P33" s="1682"/>
      <c r="Q33" s="714"/>
      <c r="R33" s="714"/>
      <c r="S33" s="714"/>
      <c r="T33" s="714"/>
      <c r="U33" s="714"/>
      <c r="V33" s="714"/>
      <c r="W33" s="714"/>
      <c r="X33" s="714"/>
      <c r="Y33" s="714"/>
      <c r="Z33" s="714"/>
      <c r="AA33" s="714"/>
      <c r="AB33" s="714"/>
      <c r="AC33" s="714"/>
      <c r="AD33" s="714"/>
      <c r="AE33" s="714"/>
      <c r="AF33" s="714"/>
      <c r="AG33" s="714"/>
      <c r="AH33" s="714"/>
      <c r="AI33" s="714"/>
      <c r="AJ33" s="714"/>
      <c r="AK33" s="714"/>
      <c r="AL33" s="714"/>
      <c r="AM33" s="714"/>
      <c r="AN33" s="714"/>
      <c r="AO33" s="714"/>
      <c r="AP33" s="714"/>
      <c r="AQ33" s="714"/>
      <c r="AR33" s="714"/>
      <c r="AS33" s="714"/>
      <c r="AT33" s="714"/>
      <c r="AU33" s="714"/>
      <c r="AV33" s="714"/>
      <c r="AW33" s="714"/>
      <c r="AX33" s="714"/>
      <c r="AY33" s="714"/>
      <c r="AZ33" s="714"/>
      <c r="BA33" s="714"/>
      <c r="BB33" s="714"/>
      <c r="BC33" s="714"/>
      <c r="BD33" s="714"/>
      <c r="BE33" s="714"/>
      <c r="BF33" s="714"/>
      <c r="BG33" s="714"/>
      <c r="BH33" s="714"/>
      <c r="BI33" s="714"/>
      <c r="BJ33" s="714"/>
      <c r="BK33" s="714"/>
      <c r="BL33" s="714"/>
      <c r="BM33" s="714"/>
      <c r="BN33" s="714"/>
      <c r="BO33" s="714"/>
      <c r="BP33" s="714"/>
      <c r="BQ33" s="714"/>
      <c r="BR33" s="714"/>
      <c r="BS33" s="714"/>
      <c r="BT33" s="714"/>
      <c r="BU33" s="714"/>
      <c r="BV33" s="714"/>
      <c r="BW33" s="714"/>
      <c r="BX33" s="714"/>
      <c r="BY33" s="714"/>
      <c r="BZ33" s="714"/>
      <c r="CA33" s="714"/>
      <c r="CB33" s="714"/>
      <c r="CC33" s="714"/>
      <c r="CD33" s="714"/>
      <c r="CE33" s="714"/>
      <c r="CF33" s="714"/>
      <c r="CG33" s="714"/>
      <c r="CH33" s="714"/>
      <c r="CI33" s="714"/>
      <c r="CJ33" s="714"/>
      <c r="CK33" s="714"/>
      <c r="CL33" s="714"/>
      <c r="CM33" s="714"/>
      <c r="CN33" s="714"/>
      <c r="CO33" s="714"/>
      <c r="CP33" s="714"/>
      <c r="CQ33" s="714"/>
      <c r="CR33" s="714"/>
      <c r="CS33" s="714"/>
      <c r="CT33" s="714"/>
      <c r="CU33" s="714"/>
      <c r="CV33" s="714"/>
      <c r="CW33" s="714"/>
      <c r="CX33" s="714"/>
      <c r="CY33" s="714"/>
      <c r="CZ33" s="714"/>
      <c r="DA33" s="714"/>
      <c r="DB33" s="714"/>
      <c r="DC33" s="714"/>
      <c r="DD33" s="714"/>
      <c r="DE33" s="714"/>
      <c r="DF33" s="714"/>
      <c r="DG33" s="714"/>
      <c r="DH33" s="714"/>
      <c r="DI33" s="714"/>
      <c r="DJ33" s="714"/>
      <c r="DK33" s="714"/>
      <c r="DL33" s="714"/>
      <c r="DM33" s="714"/>
      <c r="DN33" s="714"/>
      <c r="DO33" s="714"/>
      <c r="DP33" s="714"/>
      <c r="DQ33" s="714"/>
      <c r="DR33" s="714"/>
      <c r="DS33" s="714"/>
      <c r="DT33" s="714"/>
      <c r="DU33" s="714"/>
      <c r="DV33" s="714"/>
      <c r="DW33" s="714"/>
      <c r="DX33" s="714"/>
      <c r="DY33" s="714"/>
      <c r="DZ33" s="714"/>
      <c r="EA33" s="714"/>
      <c r="EB33" s="714"/>
      <c r="EC33" s="714"/>
      <c r="ED33" s="714"/>
      <c r="EE33" s="714"/>
      <c r="EF33" s="714"/>
      <c r="EG33" s="714"/>
      <c r="EH33" s="714"/>
      <c r="EI33" s="714"/>
      <c r="EJ33" s="714"/>
      <c r="EK33" s="714"/>
      <c r="EL33" s="714"/>
      <c r="EM33" s="714"/>
      <c r="EN33" s="714"/>
      <c r="EO33" s="714"/>
      <c r="EP33" s="714"/>
      <c r="EQ33" s="714"/>
      <c r="ER33" s="714"/>
      <c r="ES33" s="714"/>
      <c r="ET33" s="714"/>
      <c r="EU33" s="714"/>
      <c r="EV33" s="714"/>
      <c r="EW33" s="714"/>
      <c r="EX33" s="714"/>
    </row>
    <row r="34" spans="1:154" s="264" customFormat="1" ht="15" customHeight="1">
      <c r="A34" s="263" t="s">
        <v>338</v>
      </c>
      <c r="B34" s="1680">
        <f>'Anexo 1 _ BAL ORC'!C39</f>
        <v>1892</v>
      </c>
      <c r="C34" s="1685"/>
      <c r="D34" s="1701">
        <f>'Anexo 1 _ BAL ORC'!G41</f>
        <v>46040.89</v>
      </c>
      <c r="E34" s="1702"/>
      <c r="N34" s="1680">
        <v>1891.9</v>
      </c>
      <c r="O34" s="1681"/>
      <c r="P34" s="1682"/>
      <c r="Q34" s="719"/>
      <c r="R34" s="719"/>
      <c r="S34" s="719"/>
      <c r="T34" s="719"/>
      <c r="U34" s="719"/>
      <c r="V34" s="719"/>
      <c r="W34" s="719"/>
      <c r="X34" s="719"/>
      <c r="Y34" s="719"/>
      <c r="Z34" s="719"/>
      <c r="AA34" s="719"/>
      <c r="AB34" s="719"/>
      <c r="AC34" s="719"/>
      <c r="AD34" s="719"/>
      <c r="AE34" s="719"/>
      <c r="AF34" s="719"/>
      <c r="AG34" s="719"/>
      <c r="AH34" s="719"/>
      <c r="AI34" s="719"/>
      <c r="AJ34" s="719"/>
      <c r="AK34" s="719"/>
      <c r="AL34" s="719"/>
      <c r="AM34" s="719"/>
      <c r="AN34" s="719"/>
      <c r="AO34" s="719"/>
      <c r="AP34" s="719"/>
      <c r="AQ34" s="719"/>
      <c r="AR34" s="719"/>
      <c r="AS34" s="719"/>
      <c r="AT34" s="719"/>
      <c r="AU34" s="719"/>
      <c r="AV34" s="719"/>
      <c r="AW34" s="719"/>
      <c r="AX34" s="719"/>
      <c r="AY34" s="719"/>
      <c r="AZ34" s="719"/>
      <c r="BA34" s="719"/>
      <c r="BB34" s="719"/>
      <c r="BC34" s="719"/>
      <c r="BD34" s="719"/>
      <c r="BE34" s="719"/>
      <c r="BF34" s="719"/>
      <c r="BG34" s="719"/>
      <c r="BH34" s="719"/>
      <c r="BI34" s="719"/>
      <c r="BJ34" s="719"/>
      <c r="BK34" s="719"/>
      <c r="BL34" s="719"/>
      <c r="BM34" s="719"/>
      <c r="BN34" s="719"/>
      <c r="BO34" s="719"/>
      <c r="BP34" s="719"/>
      <c r="BQ34" s="719"/>
      <c r="BR34" s="719"/>
      <c r="BS34" s="719"/>
      <c r="BT34" s="719"/>
      <c r="BU34" s="719"/>
      <c r="BV34" s="719"/>
      <c r="BW34" s="719"/>
      <c r="BX34" s="719"/>
      <c r="BY34" s="719"/>
      <c r="BZ34" s="719"/>
      <c r="CA34" s="719"/>
      <c r="CB34" s="719"/>
      <c r="CC34" s="719"/>
      <c r="CD34" s="719"/>
      <c r="CE34" s="719"/>
      <c r="CF34" s="719"/>
      <c r="CG34" s="719"/>
      <c r="CH34" s="719"/>
      <c r="CI34" s="719"/>
      <c r="CJ34" s="719"/>
      <c r="CK34" s="719"/>
      <c r="CL34" s="719"/>
      <c r="CM34" s="719"/>
      <c r="CN34" s="719"/>
      <c r="CO34" s="719"/>
      <c r="CP34" s="719"/>
      <c r="CQ34" s="719"/>
      <c r="CR34" s="719"/>
      <c r="CS34" s="719"/>
      <c r="CT34" s="719"/>
      <c r="CU34" s="719"/>
      <c r="CV34" s="719"/>
      <c r="CW34" s="719"/>
      <c r="CX34" s="719"/>
      <c r="CY34" s="719"/>
      <c r="CZ34" s="719"/>
      <c r="DA34" s="719"/>
      <c r="DB34" s="719"/>
      <c r="DC34" s="719"/>
      <c r="DD34" s="719"/>
      <c r="DE34" s="719"/>
      <c r="DF34" s="719"/>
      <c r="DG34" s="719"/>
      <c r="DH34" s="719"/>
      <c r="DI34" s="719"/>
      <c r="DJ34" s="719"/>
      <c r="DK34" s="719"/>
      <c r="DL34" s="719"/>
      <c r="DM34" s="719"/>
      <c r="DN34" s="719"/>
      <c r="DO34" s="719"/>
      <c r="DP34" s="719"/>
      <c r="DQ34" s="719"/>
      <c r="DR34" s="719"/>
      <c r="DS34" s="719"/>
      <c r="DT34" s="719"/>
      <c r="DU34" s="719"/>
      <c r="DV34" s="719"/>
      <c r="DW34" s="719"/>
      <c r="DX34" s="719"/>
      <c r="DY34" s="719"/>
      <c r="DZ34" s="719"/>
      <c r="EA34" s="719"/>
      <c r="EB34" s="719"/>
      <c r="EC34" s="719"/>
      <c r="ED34" s="719"/>
      <c r="EE34" s="719"/>
      <c r="EF34" s="719"/>
      <c r="EG34" s="719"/>
      <c r="EH34" s="719"/>
      <c r="EI34" s="719"/>
      <c r="EJ34" s="719"/>
      <c r="EK34" s="719"/>
      <c r="EL34" s="719"/>
      <c r="EM34" s="719"/>
      <c r="EN34" s="719"/>
      <c r="EO34" s="719"/>
      <c r="EP34" s="719"/>
      <c r="EQ34" s="719"/>
      <c r="ER34" s="719"/>
      <c r="ES34" s="719"/>
      <c r="ET34" s="719"/>
      <c r="EU34" s="719"/>
      <c r="EV34" s="719"/>
      <c r="EW34" s="719"/>
      <c r="EX34" s="719"/>
    </row>
    <row r="35" spans="1:16" s="264" customFormat="1" ht="15" customHeight="1">
      <c r="A35" s="586" t="s">
        <v>339</v>
      </c>
      <c r="B35" s="1677">
        <f>SUM(B36:B37)</f>
        <v>52762797</v>
      </c>
      <c r="C35" s="1686"/>
      <c r="D35" s="1677">
        <f>SUM(D36:D37)</f>
        <v>599658.14</v>
      </c>
      <c r="E35" s="1679"/>
      <c r="N35" s="1680">
        <f>N36+N37</f>
        <v>0</v>
      </c>
      <c r="O35" s="1681"/>
      <c r="P35" s="1682"/>
    </row>
    <row r="36" spans="1:16" ht="15" customHeight="1">
      <c r="A36" s="260" t="s">
        <v>340</v>
      </c>
      <c r="B36" s="1680">
        <f>'Anexo 1 _ BAL ORC'!C45</f>
        <v>52762797</v>
      </c>
      <c r="C36" s="1685"/>
      <c r="D36" s="1701">
        <f>'Anexo 1 _ BAL ORC'!G45</f>
        <v>599658.14</v>
      </c>
      <c r="E36" s="1702"/>
      <c r="N36" s="1680"/>
      <c r="O36" s="1681"/>
      <c r="P36" s="1682"/>
    </row>
    <row r="37" spans="1:20" ht="15" customHeight="1">
      <c r="A37" s="260" t="s">
        <v>341</v>
      </c>
      <c r="B37" s="1680">
        <v>0</v>
      </c>
      <c r="C37" s="1685"/>
      <c r="D37" s="1701">
        <v>0</v>
      </c>
      <c r="E37" s="1702"/>
      <c r="N37" s="1680"/>
      <c r="O37" s="1681"/>
      <c r="P37" s="1682"/>
      <c r="T37" s="538"/>
    </row>
    <row r="38" spans="1:16" ht="15" customHeight="1">
      <c r="A38" s="263" t="s">
        <v>231</v>
      </c>
      <c r="B38" s="1717">
        <v>0</v>
      </c>
      <c r="C38" s="1718"/>
      <c r="D38" s="1701">
        <v>0</v>
      </c>
      <c r="E38" s="1702"/>
      <c r="N38" s="1680"/>
      <c r="O38" s="1681"/>
      <c r="P38" s="1682"/>
    </row>
    <row r="39" spans="1:16" ht="15" customHeight="1">
      <c r="A39" s="265" t="s">
        <v>342</v>
      </c>
      <c r="B39" s="1683">
        <f>B31-B32-B33-B34</f>
        <v>52762797</v>
      </c>
      <c r="C39" s="1684"/>
      <c r="D39" s="1703">
        <f>D31-D32-D33-D34</f>
        <v>599658.1400000012</v>
      </c>
      <c r="E39" s="1703"/>
      <c r="N39" s="1704">
        <f>N31-N32-N33-N34</f>
        <v>-9.322320693172514E-11</v>
      </c>
      <c r="O39" s="1705"/>
      <c r="P39" s="1705"/>
    </row>
    <row r="40" spans="1:20" ht="15" customHeight="1">
      <c r="A40" s="268" t="s">
        <v>343</v>
      </c>
      <c r="B40" s="1683">
        <f>B10+B39</f>
        <v>2494616880.13</v>
      </c>
      <c r="C40" s="1684"/>
      <c r="D40" s="1703">
        <f>D10+D39</f>
        <v>1153015607.55</v>
      </c>
      <c r="E40" s="1703"/>
      <c r="N40" s="1706">
        <f>N10+N39</f>
        <v>1053533732.57</v>
      </c>
      <c r="O40" s="1707"/>
      <c r="P40" s="1707"/>
      <c r="T40" s="535"/>
    </row>
    <row r="41" spans="1:5" ht="15" customHeight="1">
      <c r="A41" s="269"/>
      <c r="B41" s="270"/>
      <c r="C41" s="271"/>
      <c r="D41" s="271"/>
      <c r="E41" s="1059"/>
    </row>
    <row r="42" spans="1:16" ht="15" customHeight="1">
      <c r="A42" s="1722" t="s">
        <v>344</v>
      </c>
      <c r="B42" s="1723" t="s">
        <v>345</v>
      </c>
      <c r="C42" s="1724" t="s">
        <v>645</v>
      </c>
      <c r="D42" s="1725"/>
      <c r="E42" s="1726" t="s">
        <v>852</v>
      </c>
      <c r="F42" s="1727"/>
      <c r="G42" s="1727"/>
      <c r="H42" s="1727"/>
      <c r="I42" s="1727"/>
      <c r="J42" s="1727"/>
      <c r="K42" s="1727"/>
      <c r="L42" s="1727"/>
      <c r="M42" s="1727"/>
      <c r="N42" s="1728"/>
      <c r="O42" s="1729" t="s">
        <v>239</v>
      </c>
      <c r="P42" s="1730"/>
    </row>
    <row r="43" spans="1:16" ht="25.5" customHeight="1">
      <c r="A43" s="1722"/>
      <c r="B43" s="1723"/>
      <c r="C43" s="253" t="s">
        <v>103</v>
      </c>
      <c r="D43" s="253" t="s">
        <v>822</v>
      </c>
      <c r="E43" s="1381" t="s">
        <v>844</v>
      </c>
      <c r="F43" s="722"/>
      <c r="N43" s="1378" t="s">
        <v>822</v>
      </c>
      <c r="O43" s="1378" t="s">
        <v>954</v>
      </c>
      <c r="P43" s="1378" t="s">
        <v>955</v>
      </c>
    </row>
    <row r="44" spans="1:21" ht="15" customHeight="1">
      <c r="A44" s="272" t="s">
        <v>346</v>
      </c>
      <c r="B44" s="273">
        <f>B45+B46+B47</f>
        <v>2302959862.92</v>
      </c>
      <c r="C44" s="273">
        <f>C45+C46+C47</f>
        <v>1620849373.74</v>
      </c>
      <c r="D44" s="274">
        <f>D45+D46+D47</f>
        <v>1414846666.3600001</v>
      </c>
      <c r="E44" s="1252">
        <f>E45+E46+E47</f>
        <v>990317577.2</v>
      </c>
      <c r="F44" s="722"/>
      <c r="N44" s="1379">
        <f>N45+N46+N47</f>
        <v>828472049.76</v>
      </c>
      <c r="O44" s="1331"/>
      <c r="P44" s="1380">
        <f>P45+P46+P47</f>
        <v>0</v>
      </c>
      <c r="U44" s="535"/>
    </row>
    <row r="45" spans="1:20" ht="15" customHeight="1">
      <c r="A45" s="263" t="s">
        <v>347</v>
      </c>
      <c r="B45" s="275">
        <f>'Anexo 1 _ BAL ORC'!C76</f>
        <v>1110872769.65</v>
      </c>
      <c r="C45" s="275">
        <f>'Anexo 1 _ BAL ORC'!E76</f>
        <v>802921172.44</v>
      </c>
      <c r="D45" s="275">
        <v>708804373.72</v>
      </c>
      <c r="E45" s="1058">
        <f>'Anexo 1 _ BAL ORC'!H76</f>
        <v>517275681.9</v>
      </c>
      <c r="F45" s="722"/>
      <c r="N45" s="1058">
        <v>422557023.76</v>
      </c>
      <c r="O45" s="1060"/>
      <c r="P45" s="1058"/>
      <c r="T45" s="1115"/>
    </row>
    <row r="46" spans="1:20" ht="15" customHeight="1">
      <c r="A46" s="263" t="s">
        <v>348</v>
      </c>
      <c r="B46" s="275">
        <f>'Anexo 1 _ BAL ORC'!C77</f>
        <v>9955672</v>
      </c>
      <c r="C46" s="275">
        <f>'Anexo 1 _ BAL ORC'!E77</f>
        <v>6302975.12</v>
      </c>
      <c r="D46" s="275">
        <v>4649138.64</v>
      </c>
      <c r="E46" s="1058">
        <f>'Anexo 1 _ BAL ORC'!H77</f>
        <v>4264599.99</v>
      </c>
      <c r="F46" s="722"/>
      <c r="N46" s="1058">
        <v>2739317.62</v>
      </c>
      <c r="O46" s="1060"/>
      <c r="P46" s="1058"/>
      <c r="T46" s="1115"/>
    </row>
    <row r="47" spans="1:20" ht="15" customHeight="1">
      <c r="A47" s="263" t="s">
        <v>249</v>
      </c>
      <c r="B47" s="275">
        <f>'Anexo 1 _ BAL ORC'!C78</f>
        <v>1182131421.2699997</v>
      </c>
      <c r="C47" s="275">
        <f>'Anexo 1 _ BAL ORC'!E78</f>
        <v>811625226.18</v>
      </c>
      <c r="D47" s="275">
        <v>701393154</v>
      </c>
      <c r="E47" s="1058">
        <f>'Anexo 1 _ BAL ORC'!H78</f>
        <v>468777295.31</v>
      </c>
      <c r="F47" s="722"/>
      <c r="N47" s="1058">
        <v>403175708.38</v>
      </c>
      <c r="O47" s="1060"/>
      <c r="P47" s="1058"/>
      <c r="T47" s="1115"/>
    </row>
    <row r="48" spans="1:20" ht="15" customHeight="1">
      <c r="A48" s="272" t="s">
        <v>349</v>
      </c>
      <c r="B48" s="273">
        <f>B44-B46</f>
        <v>2293004190.92</v>
      </c>
      <c r="C48" s="273">
        <f aca="true" t="shared" si="0" ref="C48:P48">C44-C46</f>
        <v>1614546398.6200001</v>
      </c>
      <c r="D48" s="273">
        <f t="shared" si="0"/>
        <v>1410197527.72</v>
      </c>
      <c r="E48" s="273">
        <f t="shared" si="0"/>
        <v>986052977.21</v>
      </c>
      <c r="F48" s="273">
        <f t="shared" si="0"/>
        <v>0</v>
      </c>
      <c r="G48" s="273">
        <f t="shared" si="0"/>
        <v>0</v>
      </c>
      <c r="H48" s="273">
        <f t="shared" si="0"/>
        <v>0</v>
      </c>
      <c r="I48" s="273">
        <f t="shared" si="0"/>
        <v>0</v>
      </c>
      <c r="J48" s="273">
        <f t="shared" si="0"/>
        <v>0</v>
      </c>
      <c r="K48" s="273">
        <f t="shared" si="0"/>
        <v>0</v>
      </c>
      <c r="L48" s="273">
        <f t="shared" si="0"/>
        <v>0</v>
      </c>
      <c r="M48" s="273">
        <f t="shared" si="0"/>
        <v>0</v>
      </c>
      <c r="N48" s="273">
        <f t="shared" si="0"/>
        <v>825732732.14</v>
      </c>
      <c r="O48" s="1331"/>
      <c r="P48" s="273">
        <f t="shared" si="0"/>
        <v>0</v>
      </c>
      <c r="T48" s="1115"/>
    </row>
    <row r="49" spans="1:20" ht="15" customHeight="1">
      <c r="A49" s="723" t="s">
        <v>350</v>
      </c>
      <c r="B49" s="262">
        <f>B50+B51+B55</f>
        <v>356686098.08000004</v>
      </c>
      <c r="C49" s="262">
        <f aca="true" t="shared" si="1" ref="C49:P49">C50+C51+C55</f>
        <v>120216855.49000001</v>
      </c>
      <c r="D49" s="262">
        <f t="shared" si="1"/>
        <v>131064099.77000001</v>
      </c>
      <c r="E49" s="262">
        <f t="shared" si="1"/>
        <v>52578510.89</v>
      </c>
      <c r="F49" s="262">
        <f t="shared" si="1"/>
        <v>0</v>
      </c>
      <c r="G49" s="262">
        <f t="shared" si="1"/>
        <v>0</v>
      </c>
      <c r="H49" s="262">
        <f t="shared" si="1"/>
        <v>0</v>
      </c>
      <c r="I49" s="262">
        <f t="shared" si="1"/>
        <v>0</v>
      </c>
      <c r="J49" s="262">
        <f t="shared" si="1"/>
        <v>0</v>
      </c>
      <c r="K49" s="262">
        <f t="shared" si="1"/>
        <v>0</v>
      </c>
      <c r="L49" s="262">
        <f t="shared" si="1"/>
        <v>0</v>
      </c>
      <c r="M49" s="262">
        <f t="shared" si="1"/>
        <v>0</v>
      </c>
      <c r="N49" s="262">
        <f t="shared" si="1"/>
        <v>37903253.95</v>
      </c>
      <c r="O49" s="1331"/>
      <c r="P49" s="262">
        <f t="shared" si="1"/>
        <v>0</v>
      </c>
      <c r="T49" s="1115"/>
    </row>
    <row r="50" spans="1:20" ht="15" customHeight="1">
      <c r="A50" s="263" t="s">
        <v>351</v>
      </c>
      <c r="B50" s="256">
        <f>'Anexo 1 _ BAL ORC'!C80</f>
        <v>297789301.20000005</v>
      </c>
      <c r="C50" s="275">
        <f>'Anexo 1 _ BAL ORC'!E80</f>
        <v>81732752.62</v>
      </c>
      <c r="D50" s="275">
        <v>105003447.73</v>
      </c>
      <c r="E50" s="1060">
        <f>'Anexo 1 _ BAL ORC'!H80</f>
        <v>35861728.5</v>
      </c>
      <c r="F50" s="722"/>
      <c r="N50" s="1058">
        <v>21013311.54</v>
      </c>
      <c r="O50" s="1060"/>
      <c r="P50" s="1058"/>
      <c r="T50" s="1115"/>
    </row>
    <row r="51" spans="1:20" s="264" customFormat="1" ht="15" customHeight="1">
      <c r="A51" s="586" t="s">
        <v>352</v>
      </c>
      <c r="B51" s="262">
        <f>B52+B53+B54</f>
        <v>131800</v>
      </c>
      <c r="C51" s="262">
        <f aca="true" t="shared" si="2" ref="C51:P51">C52+C53+C54</f>
        <v>6000</v>
      </c>
      <c r="D51" s="262">
        <f t="shared" si="2"/>
        <v>0</v>
      </c>
      <c r="E51" s="262">
        <f t="shared" si="2"/>
        <v>0</v>
      </c>
      <c r="F51" s="262">
        <f t="shared" si="2"/>
        <v>0</v>
      </c>
      <c r="G51" s="262">
        <f t="shared" si="2"/>
        <v>0</v>
      </c>
      <c r="H51" s="262">
        <f t="shared" si="2"/>
        <v>0</v>
      </c>
      <c r="I51" s="262">
        <f t="shared" si="2"/>
        <v>0</v>
      </c>
      <c r="J51" s="262">
        <f t="shared" si="2"/>
        <v>0</v>
      </c>
      <c r="K51" s="262">
        <f t="shared" si="2"/>
        <v>0</v>
      </c>
      <c r="L51" s="262">
        <f t="shared" si="2"/>
        <v>0</v>
      </c>
      <c r="M51" s="262">
        <f t="shared" si="2"/>
        <v>0</v>
      </c>
      <c r="N51" s="1251">
        <f t="shared" si="2"/>
        <v>0</v>
      </c>
      <c r="O51" s="1060"/>
      <c r="P51" s="1058">
        <f t="shared" si="2"/>
        <v>0</v>
      </c>
      <c r="T51" s="1115"/>
    </row>
    <row r="52" spans="1:20" ht="15" customHeight="1">
      <c r="A52" s="260" t="s">
        <v>353</v>
      </c>
      <c r="B52" s="256">
        <v>0</v>
      </c>
      <c r="C52" s="256">
        <v>0</v>
      </c>
      <c r="D52" s="257">
        <v>0</v>
      </c>
      <c r="E52" s="1061">
        <v>0</v>
      </c>
      <c r="F52" s="722"/>
      <c r="N52" s="1251"/>
      <c r="O52" s="1060"/>
      <c r="P52" s="1058"/>
      <c r="T52" s="1115"/>
    </row>
    <row r="53" spans="1:20" ht="15" customHeight="1">
      <c r="A53" s="260" t="s">
        <v>354</v>
      </c>
      <c r="B53" s="256">
        <v>0</v>
      </c>
      <c r="C53" s="256">
        <v>0</v>
      </c>
      <c r="D53" s="257">
        <v>0</v>
      </c>
      <c r="E53" s="1061">
        <v>0</v>
      </c>
      <c r="F53" s="722"/>
      <c r="N53" s="1251"/>
      <c r="O53" s="1060"/>
      <c r="P53" s="1058"/>
      <c r="T53" s="538"/>
    </row>
    <row r="54" spans="1:16" ht="15" customHeight="1">
      <c r="A54" s="260" t="s">
        <v>355</v>
      </c>
      <c r="B54" s="256">
        <f>'Anexo 1 _ BAL ORC'!C81</f>
        <v>131800</v>
      </c>
      <c r="C54" s="275">
        <f>'Anexo 1 _ BAL ORC'!E81</f>
        <v>6000</v>
      </c>
      <c r="D54" s="275"/>
      <c r="E54" s="1058">
        <f>'Anexo 1 _ BAL ORC'!H81</f>
        <v>0</v>
      </c>
      <c r="F54" s="722"/>
      <c r="N54" s="1251"/>
      <c r="O54" s="1060"/>
      <c r="P54" s="1058"/>
    </row>
    <row r="55" spans="1:20" ht="15" customHeight="1">
      <c r="A55" s="263" t="s">
        <v>356</v>
      </c>
      <c r="B55" s="256">
        <f>'Anexo 1 _ BAL ORC'!C82</f>
        <v>58764996.88</v>
      </c>
      <c r="C55" s="256">
        <f>'Anexo 1 _ BAL ORC'!E82</f>
        <v>38478102.87</v>
      </c>
      <c r="D55" s="275">
        <v>26060652.04</v>
      </c>
      <c r="E55" s="1058">
        <f>'Anexo 1 _ BAL ORC'!H82</f>
        <v>16716782.39</v>
      </c>
      <c r="F55" s="722"/>
      <c r="N55" s="1058">
        <v>16889942.41</v>
      </c>
      <c r="O55" s="1060"/>
      <c r="P55" s="1058"/>
      <c r="T55" s="1115"/>
    </row>
    <row r="56" spans="1:20" ht="15" customHeight="1">
      <c r="A56" s="723" t="s">
        <v>357</v>
      </c>
      <c r="B56" s="262">
        <f>B49-B52-B53-B55</f>
        <v>297921101.20000005</v>
      </c>
      <c r="C56" s="262">
        <f aca="true" t="shared" si="3" ref="C56:P56">C49-C52-C53-C55</f>
        <v>81738752.62</v>
      </c>
      <c r="D56" s="262">
        <f t="shared" si="3"/>
        <v>105003447.73000002</v>
      </c>
      <c r="E56" s="262">
        <f t="shared" si="3"/>
        <v>35861728.5</v>
      </c>
      <c r="F56" s="262">
        <f t="shared" si="3"/>
        <v>0</v>
      </c>
      <c r="G56" s="262">
        <f t="shared" si="3"/>
        <v>0</v>
      </c>
      <c r="H56" s="262">
        <f t="shared" si="3"/>
        <v>0</v>
      </c>
      <c r="I56" s="262">
        <f t="shared" si="3"/>
        <v>0</v>
      </c>
      <c r="J56" s="262">
        <f t="shared" si="3"/>
        <v>0</v>
      </c>
      <c r="K56" s="262">
        <f t="shared" si="3"/>
        <v>0</v>
      </c>
      <c r="L56" s="262">
        <f t="shared" si="3"/>
        <v>0</v>
      </c>
      <c r="M56" s="262">
        <f t="shared" si="3"/>
        <v>0</v>
      </c>
      <c r="N56" s="1252">
        <f t="shared" si="3"/>
        <v>21013311.540000003</v>
      </c>
      <c r="O56" s="1060"/>
      <c r="P56" s="1058">
        <f t="shared" si="3"/>
        <v>0</v>
      </c>
      <c r="T56" s="535"/>
    </row>
    <row r="57" spans="1:22" ht="15" customHeight="1">
      <c r="A57" s="723" t="s">
        <v>358</v>
      </c>
      <c r="B57" s="256">
        <f>'Anexo 1 _ BAL ORC'!D83</f>
        <v>0</v>
      </c>
      <c r="C57" s="275">
        <f>'Anexo 1 _ BAL ORC'!E83</f>
        <v>0</v>
      </c>
      <c r="D57" s="275">
        <v>0</v>
      </c>
      <c r="E57" s="1018">
        <f>'Anexo 1 _ BAL ORC'!H83</f>
        <v>0</v>
      </c>
      <c r="F57" s="722"/>
      <c r="N57" s="1251"/>
      <c r="O57" s="1060"/>
      <c r="P57" s="1058"/>
      <c r="T57" s="535"/>
      <c r="V57" s="535"/>
    </row>
    <row r="58" spans="1:16" ht="15" customHeight="1">
      <c r="A58" s="723" t="s">
        <v>359</v>
      </c>
      <c r="B58" s="256">
        <f>'Anexo 1 _ BAL ORC'!D84</f>
        <v>0</v>
      </c>
      <c r="C58" s="275">
        <f>'Anexo 1 _ BAL ORC'!E84</f>
        <v>0</v>
      </c>
      <c r="D58" s="275">
        <v>0</v>
      </c>
      <c r="E58" s="1062">
        <f>'Anexo 1 _ BAL ORC'!H84</f>
        <v>0</v>
      </c>
      <c r="F58" s="722"/>
      <c r="N58" s="1251"/>
      <c r="O58" s="1332"/>
      <c r="P58" s="1058"/>
    </row>
    <row r="59" spans="1:16" ht="15" customHeight="1">
      <c r="A59" s="276" t="s">
        <v>360</v>
      </c>
      <c r="B59" s="266">
        <f>B48+B56+B57+B58</f>
        <v>2590925292.12</v>
      </c>
      <c r="C59" s="266">
        <f aca="true" t="shared" si="4" ref="C59:P59">C48+C56+C57+C58</f>
        <v>1696285151.2400002</v>
      </c>
      <c r="D59" s="266">
        <f t="shared" si="4"/>
        <v>1515200975.45</v>
      </c>
      <c r="E59" s="266">
        <f t="shared" si="4"/>
        <v>1021914705.71</v>
      </c>
      <c r="F59" s="266">
        <f t="shared" si="4"/>
        <v>0</v>
      </c>
      <c r="G59" s="266">
        <f t="shared" si="4"/>
        <v>0</v>
      </c>
      <c r="H59" s="266">
        <f t="shared" si="4"/>
        <v>0</v>
      </c>
      <c r="I59" s="266">
        <f t="shared" si="4"/>
        <v>0</v>
      </c>
      <c r="J59" s="266">
        <f t="shared" si="4"/>
        <v>0</v>
      </c>
      <c r="K59" s="266">
        <f t="shared" si="4"/>
        <v>0</v>
      </c>
      <c r="L59" s="266">
        <f t="shared" si="4"/>
        <v>0</v>
      </c>
      <c r="M59" s="266">
        <f t="shared" si="4"/>
        <v>0</v>
      </c>
      <c r="N59" s="266">
        <f t="shared" si="4"/>
        <v>846746043.68</v>
      </c>
      <c r="O59" s="1060">
        <f t="shared" si="4"/>
        <v>0</v>
      </c>
      <c r="P59" s="266">
        <f t="shared" si="4"/>
        <v>0</v>
      </c>
    </row>
    <row r="60" spans="1:16" ht="15" customHeight="1">
      <c r="A60" s="277"/>
      <c r="B60" s="278"/>
      <c r="C60" s="278"/>
      <c r="D60" s="278"/>
      <c r="E60" s="1063"/>
      <c r="F60" s="722"/>
      <c r="N60" s="1144"/>
      <c r="O60" s="1330"/>
      <c r="P60" s="1144"/>
    </row>
    <row r="61" spans="1:16" s="280" customFormat="1" ht="15" customHeight="1">
      <c r="A61" s="279" t="s">
        <v>956</v>
      </c>
      <c r="B61" s="267">
        <f>B40-B59</f>
        <v>-96308411.98999977</v>
      </c>
      <c r="C61" s="267">
        <f>D40-C59</f>
        <v>-543269543.6900003</v>
      </c>
      <c r="D61" s="267">
        <f>N40-D59</f>
        <v>-461667242.88</v>
      </c>
      <c r="E61" s="267">
        <f>D40-E59</f>
        <v>131100901.83999991</v>
      </c>
      <c r="F61" s="267">
        <f aca="true" t="shared" si="5" ref="F61:N61">F40-F59</f>
        <v>0</v>
      </c>
      <c r="G61" s="267">
        <f t="shared" si="5"/>
        <v>0</v>
      </c>
      <c r="H61" s="267">
        <f t="shared" si="5"/>
        <v>0</v>
      </c>
      <c r="I61" s="267">
        <f t="shared" si="5"/>
        <v>0</v>
      </c>
      <c r="J61" s="267">
        <f t="shared" si="5"/>
        <v>0</v>
      </c>
      <c r="K61" s="267">
        <f t="shared" si="5"/>
        <v>0</v>
      </c>
      <c r="L61" s="267">
        <f t="shared" si="5"/>
        <v>0</v>
      </c>
      <c r="M61" s="267">
        <f t="shared" si="5"/>
        <v>0</v>
      </c>
      <c r="N61" s="267">
        <f t="shared" si="5"/>
        <v>206787688.8900001</v>
      </c>
      <c r="O61" s="267"/>
      <c r="P61" s="267"/>
    </row>
    <row r="62" spans="1:6" ht="15" customHeight="1">
      <c r="A62" s="277"/>
      <c r="B62" s="270"/>
      <c r="C62" s="269"/>
      <c r="D62" s="269"/>
      <c r="E62" s="269"/>
      <c r="F62" s="722"/>
    </row>
    <row r="63" spans="1:16" ht="15" customHeight="1">
      <c r="A63" s="277" t="s">
        <v>361</v>
      </c>
      <c r="B63" s="281">
        <v>0</v>
      </c>
      <c r="C63" s="281">
        <v>0</v>
      </c>
      <c r="D63" s="281">
        <v>0</v>
      </c>
      <c r="E63" s="1064">
        <v>0</v>
      </c>
      <c r="F63" s="722"/>
      <c r="N63" s="1147">
        <v>0</v>
      </c>
      <c r="O63" s="1329">
        <v>0</v>
      </c>
      <c r="P63" s="1147">
        <v>0</v>
      </c>
    </row>
    <row r="64" spans="1:6" ht="15" customHeight="1">
      <c r="A64" s="282"/>
      <c r="B64" s="283"/>
      <c r="C64" s="284"/>
      <c r="D64" s="284"/>
      <c r="E64" s="284"/>
      <c r="F64" s="722"/>
    </row>
    <row r="65" spans="1:16" ht="15" customHeight="1">
      <c r="A65" s="1689" t="s">
        <v>309</v>
      </c>
      <c r="B65" s="1690"/>
      <c r="C65" s="1690"/>
      <c r="D65" s="1690"/>
      <c r="E65" s="1691"/>
      <c r="F65" s="722"/>
      <c r="N65" s="1695" t="s">
        <v>854</v>
      </c>
      <c r="O65" s="1696"/>
      <c r="P65" s="1697"/>
    </row>
    <row r="66" spans="1:22" ht="15" customHeight="1">
      <c r="A66" s="1692"/>
      <c r="B66" s="1693"/>
      <c r="C66" s="1693"/>
      <c r="D66" s="1693"/>
      <c r="E66" s="1694"/>
      <c r="F66" s="722"/>
      <c r="N66" s="1698"/>
      <c r="O66" s="1699"/>
      <c r="P66" s="1700"/>
      <c r="V66" s="535"/>
    </row>
    <row r="67" spans="1:20" ht="15" customHeight="1">
      <c r="A67" s="1673" t="s">
        <v>853</v>
      </c>
      <c r="B67" s="1674"/>
      <c r="C67" s="1674"/>
      <c r="D67" s="1674"/>
      <c r="E67" s="1674"/>
      <c r="F67" s="1145"/>
      <c r="G67" s="1145"/>
      <c r="H67" s="1145"/>
      <c r="I67" s="1145"/>
      <c r="J67" s="1145"/>
      <c r="K67" s="1145"/>
      <c r="L67" s="1145"/>
      <c r="M67" s="1145"/>
      <c r="N67" s="1675">
        <v>-92659180</v>
      </c>
      <c r="O67" s="1676"/>
      <c r="P67" s="1676"/>
      <c r="T67" s="1276"/>
    </row>
    <row r="68" spans="1:15" s="243" customFormat="1" ht="15" customHeight="1">
      <c r="A68" s="174" t="str">
        <f>'Anexo 5 _ RES NOM'!A44</f>
        <v>FONTE: SECRETARIA MUNICIPAL DA FAZENDA</v>
      </c>
      <c r="B68" s="285"/>
      <c r="C68" s="285"/>
      <c r="D68" s="215"/>
      <c r="E68" s="215"/>
      <c r="O68" s="287"/>
    </row>
    <row r="69" spans="1:23" s="243" customFormat="1" ht="15" customHeight="1">
      <c r="A69" s="174" t="str">
        <f>'Anexo 5 _ RES NOM'!A45</f>
        <v>  São Luís, 30 de Julho de 2015</v>
      </c>
      <c r="B69" s="285"/>
      <c r="C69" s="285"/>
      <c r="D69" s="215"/>
      <c r="E69" s="215"/>
      <c r="O69" s="287"/>
      <c r="W69" s="536"/>
    </row>
    <row r="70" spans="1:15" s="243" customFormat="1" ht="15" customHeight="1">
      <c r="A70" s="286"/>
      <c r="B70" s="167"/>
      <c r="C70" s="158"/>
      <c r="D70" s="158"/>
      <c r="E70" s="871"/>
      <c r="O70" s="287"/>
    </row>
    <row r="71" spans="1:5" s="287" customFormat="1" ht="12.75" customHeight="1">
      <c r="A71" s="223"/>
      <c r="B71" s="112"/>
      <c r="C71" s="112"/>
      <c r="D71" s="112"/>
      <c r="E71" s="223"/>
    </row>
    <row r="73" ht="15" customHeight="1">
      <c r="E73" s="1077"/>
    </row>
    <row r="85" ht="15" customHeight="1">
      <c r="E85" s="1078"/>
    </row>
    <row r="86" ht="15" customHeight="1">
      <c r="E86" s="1076"/>
    </row>
    <row r="87" ht="15" customHeight="1">
      <c r="E87" s="1076"/>
    </row>
    <row r="88" ht="15" customHeight="1">
      <c r="E88" s="1076"/>
    </row>
    <row r="89" ht="15" customHeight="1">
      <c r="E89" s="1076"/>
    </row>
    <row r="90" ht="15" customHeight="1">
      <c r="E90" s="1079"/>
    </row>
  </sheetData>
  <sheetProtection/>
  <mergeCells count="109">
    <mergeCell ref="A1:E1"/>
    <mergeCell ref="A2:E2"/>
    <mergeCell ref="A8:A9"/>
    <mergeCell ref="D17:E17"/>
    <mergeCell ref="D18:E18"/>
    <mergeCell ref="D19:E19"/>
    <mergeCell ref="D9:E9"/>
    <mergeCell ref="B13:C13"/>
    <mergeCell ref="B14:C14"/>
    <mergeCell ref="B15:C15"/>
    <mergeCell ref="A42:A43"/>
    <mergeCell ref="B42:B43"/>
    <mergeCell ref="C42:D42"/>
    <mergeCell ref="E42:N42"/>
    <mergeCell ref="O42:P42"/>
    <mergeCell ref="B8:C9"/>
    <mergeCell ref="B10:C10"/>
    <mergeCell ref="B11:C11"/>
    <mergeCell ref="B12:C12"/>
    <mergeCell ref="D16:E16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D11:E11"/>
    <mergeCell ref="D12:E12"/>
    <mergeCell ref="D13:E13"/>
    <mergeCell ref="D14:E14"/>
    <mergeCell ref="D15:E15"/>
    <mergeCell ref="D31:E31"/>
    <mergeCell ref="D20:E20"/>
    <mergeCell ref="D21:E21"/>
    <mergeCell ref="D23:E23"/>
    <mergeCell ref="D24:E24"/>
    <mergeCell ref="D25:E25"/>
    <mergeCell ref="D8:P8"/>
    <mergeCell ref="D32:E32"/>
    <mergeCell ref="N13:P13"/>
    <mergeCell ref="N14:P14"/>
    <mergeCell ref="N15:P15"/>
    <mergeCell ref="N16:P16"/>
    <mergeCell ref="D10:E10"/>
    <mergeCell ref="N10:P10"/>
    <mergeCell ref="N11:P11"/>
    <mergeCell ref="N12:P12"/>
    <mergeCell ref="D37:E37"/>
    <mergeCell ref="D30:E30"/>
    <mergeCell ref="D33:E33"/>
    <mergeCell ref="D34:E34"/>
    <mergeCell ref="D35:E35"/>
    <mergeCell ref="D36:E36"/>
    <mergeCell ref="D26:E26"/>
    <mergeCell ref="N22:P22"/>
    <mergeCell ref="D22:E22"/>
    <mergeCell ref="D38:E38"/>
    <mergeCell ref="D39:E39"/>
    <mergeCell ref="D40:E40"/>
    <mergeCell ref="N39:P39"/>
    <mergeCell ref="N40:P40"/>
    <mergeCell ref="D27:E27"/>
    <mergeCell ref="D28:E28"/>
    <mergeCell ref="D29:E29"/>
    <mergeCell ref="N25:P25"/>
    <mergeCell ref="N26:P26"/>
    <mergeCell ref="N27:P27"/>
    <mergeCell ref="N28:P28"/>
    <mergeCell ref="N29:P29"/>
    <mergeCell ref="N17:P17"/>
    <mergeCell ref="N18:P18"/>
    <mergeCell ref="N19:P19"/>
    <mergeCell ref="N20:P20"/>
    <mergeCell ref="N21:P21"/>
    <mergeCell ref="N9:P9"/>
    <mergeCell ref="N37:P37"/>
    <mergeCell ref="N38:P38"/>
    <mergeCell ref="A65:E66"/>
    <mergeCell ref="N65:P66"/>
    <mergeCell ref="N23:P23"/>
    <mergeCell ref="N24:P24"/>
    <mergeCell ref="N34:P34"/>
    <mergeCell ref="N35:P35"/>
    <mergeCell ref="N36:P36"/>
    <mergeCell ref="A67:E67"/>
    <mergeCell ref="N67:P67"/>
    <mergeCell ref="N31:P31"/>
    <mergeCell ref="N32:P32"/>
    <mergeCell ref="N33:P33"/>
    <mergeCell ref="N30:P30"/>
    <mergeCell ref="B40:C40"/>
    <mergeCell ref="B34:C34"/>
    <mergeCell ref="B35:C35"/>
    <mergeCell ref="B36:C36"/>
  </mergeCells>
  <printOptions horizontalCentered="1"/>
  <pageMargins left="0.5118110236220472" right="0.2755905511811024" top="0.5905511811023623" bottom="0.3937007874015748" header="0.5118110236220472" footer="0.1968503937007874"/>
  <pageSetup fitToHeight="1" fitToWidth="1" horizontalDpi="600" verticalDpi="600" orientation="portrait" paperSize="9" scale="64" r:id="rId4"/>
  <headerFooter alignWithMargins="0">
    <oddFooter>&amp;C&amp;A</oddFooter>
  </headerFooter>
  <ignoredErrors>
    <ignoredError sqref="D35" formulaRange="1"/>
  </ignoredError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showGridLines="0" view="pageBreakPreview" zoomScale="90" zoomScaleSheetLayoutView="90" zoomScalePageLayoutView="0" workbookViewId="0" topLeftCell="A1">
      <selection activeCell="A14" sqref="A14"/>
    </sheetView>
  </sheetViews>
  <sheetFormatPr defaultColWidth="7.8515625" defaultRowHeight="12.75"/>
  <cols>
    <col min="1" max="1" width="25.00390625" style="288" customWidth="1"/>
    <col min="2" max="4" width="17.28125" style="288" customWidth="1"/>
    <col min="5" max="5" width="17.28125" style="289" customWidth="1"/>
    <col min="6" max="7" width="17.28125" style="288" customWidth="1"/>
    <col min="8" max="16384" width="7.8515625" style="288" customWidth="1"/>
  </cols>
  <sheetData>
    <row r="1" spans="1:7" ht="11.25">
      <c r="A1" s="1739" t="s">
        <v>362</v>
      </c>
      <c r="B1" s="1739"/>
      <c r="C1" s="1739"/>
      <c r="D1" s="1739"/>
      <c r="E1" s="1739"/>
      <c r="F1" s="1739"/>
      <c r="G1" s="177" t="s">
        <v>363</v>
      </c>
    </row>
    <row r="2" spans="1:7" ht="11.25">
      <c r="A2" s="1739" t="s">
        <v>0</v>
      </c>
      <c r="B2" s="1739"/>
      <c r="C2" s="1739"/>
      <c r="D2" s="1739"/>
      <c r="E2" s="1739"/>
      <c r="F2" s="1739"/>
      <c r="G2" s="1739"/>
    </row>
    <row r="3" spans="1:7" ht="11.25">
      <c r="A3" s="1741" t="s">
        <v>364</v>
      </c>
      <c r="B3" s="1741"/>
      <c r="C3" s="1741"/>
      <c r="D3" s="1741"/>
      <c r="E3" s="1741"/>
      <c r="F3" s="1741"/>
      <c r="G3" s="1741"/>
    </row>
    <row r="4" spans="1:7" ht="11.25">
      <c r="A4" s="1739" t="s">
        <v>212</v>
      </c>
      <c r="B4" s="1739"/>
      <c r="C4" s="1739"/>
      <c r="D4" s="1739"/>
      <c r="E4" s="1739"/>
      <c r="F4" s="1739"/>
      <c r="G4" s="1739"/>
    </row>
    <row r="5" spans="1:7" ht="11.25">
      <c r="A5" s="1739" t="s">
        <v>365</v>
      </c>
      <c r="B5" s="1739"/>
      <c r="C5" s="1739"/>
      <c r="D5" s="1739"/>
      <c r="E5" s="1739"/>
      <c r="F5" s="1739"/>
      <c r="G5" s="1739"/>
    </row>
    <row r="6" spans="1:7" ht="11.25">
      <c r="A6" s="243"/>
      <c r="B6" s="243"/>
      <c r="C6" s="243"/>
      <c r="D6" s="243"/>
      <c r="E6" s="243"/>
      <c r="F6" s="243"/>
      <c r="G6" s="243"/>
    </row>
    <row r="8" ht="12.75" customHeight="1">
      <c r="A8" s="288" t="s">
        <v>366</v>
      </c>
    </row>
    <row r="9" spans="1:7" s="292" customFormat="1" ht="36" customHeight="1">
      <c r="A9" s="1740" t="s">
        <v>367</v>
      </c>
      <c r="B9" s="290" t="s">
        <v>368</v>
      </c>
      <c r="C9" s="290" t="s">
        <v>369</v>
      </c>
      <c r="D9" s="290" t="s">
        <v>370</v>
      </c>
      <c r="E9" s="290" t="s">
        <v>371</v>
      </c>
      <c r="F9" s="290" t="s">
        <v>372</v>
      </c>
      <c r="G9" s="291" t="s">
        <v>373</v>
      </c>
    </row>
    <row r="10" spans="1:7" ht="11.25" customHeight="1">
      <c r="A10" s="1740"/>
      <c r="B10" s="293" t="s">
        <v>99</v>
      </c>
      <c r="C10" s="293" t="s">
        <v>99</v>
      </c>
      <c r="D10" s="293" t="s">
        <v>99</v>
      </c>
      <c r="E10" s="293" t="s">
        <v>99</v>
      </c>
      <c r="F10" s="293" t="s">
        <v>99</v>
      </c>
      <c r="G10" s="294" t="s">
        <v>99</v>
      </c>
    </row>
    <row r="11" spans="1:7" ht="12.75" customHeight="1">
      <c r="A11" s="295"/>
      <c r="B11" s="296"/>
      <c r="C11" s="296"/>
      <c r="D11" s="296"/>
      <c r="E11" s="296"/>
      <c r="F11" s="296"/>
      <c r="G11" s="297"/>
    </row>
    <row r="12" spans="1:7" ht="12.75" customHeight="1">
      <c r="A12" s="295"/>
      <c r="B12" s="296"/>
      <c r="C12" s="296"/>
      <c r="D12" s="296"/>
      <c r="E12" s="296"/>
      <c r="F12" s="296"/>
      <c r="G12" s="297"/>
    </row>
    <row r="13" spans="1:7" ht="12.75" customHeight="1">
      <c r="A13" s="295"/>
      <c r="B13" s="296"/>
      <c r="C13" s="296"/>
      <c r="D13" s="296"/>
      <c r="E13" s="296"/>
      <c r="F13" s="296"/>
      <c r="G13" s="297"/>
    </row>
    <row r="14" spans="1:7" ht="12.75" customHeight="1">
      <c r="A14" s="295"/>
      <c r="B14" s="296"/>
      <c r="C14" s="296"/>
      <c r="D14" s="296"/>
      <c r="E14" s="296"/>
      <c r="F14" s="296"/>
      <c r="G14" s="297"/>
    </row>
    <row r="15" spans="1:7" ht="12.75" customHeight="1">
      <c r="A15" s="295"/>
      <c r="B15" s="296"/>
      <c r="C15" s="296"/>
      <c r="D15" s="296"/>
      <c r="E15" s="296"/>
      <c r="F15" s="296"/>
      <c r="G15" s="297"/>
    </row>
    <row r="16" spans="1:7" ht="12.75" customHeight="1">
      <c r="A16" s="295"/>
      <c r="B16" s="296"/>
      <c r="C16" s="296"/>
      <c r="D16" s="296"/>
      <c r="E16" s="296"/>
      <c r="F16" s="296"/>
      <c r="G16" s="297"/>
    </row>
    <row r="17" spans="1:7" ht="12.75" customHeight="1">
      <c r="A17" s="295"/>
      <c r="B17" s="296"/>
      <c r="C17" s="296"/>
      <c r="D17" s="296"/>
      <c r="E17" s="296"/>
      <c r="F17" s="296"/>
      <c r="G17" s="297"/>
    </row>
    <row r="18" spans="1:7" ht="12.75" customHeight="1">
      <c r="A18" s="295"/>
      <c r="B18" s="296"/>
      <c r="C18" s="296"/>
      <c r="D18" s="296"/>
      <c r="E18" s="296"/>
      <c r="F18" s="296"/>
      <c r="G18" s="297"/>
    </row>
    <row r="19" spans="1:7" ht="12.75" customHeight="1">
      <c r="A19" s="295"/>
      <c r="B19" s="296"/>
      <c r="C19" s="296"/>
      <c r="D19" s="296"/>
      <c r="E19" s="296"/>
      <c r="F19" s="296"/>
      <c r="G19" s="297"/>
    </row>
    <row r="20" spans="1:7" ht="12.75" customHeight="1">
      <c r="A20" s="295"/>
      <c r="B20" s="296"/>
      <c r="C20" s="296"/>
      <c r="D20" s="296"/>
      <c r="E20" s="296"/>
      <c r="F20" s="296"/>
      <c r="G20" s="297"/>
    </row>
    <row r="21" spans="1:7" ht="12.75" customHeight="1">
      <c r="A21" s="295"/>
      <c r="B21" s="296"/>
      <c r="C21" s="296"/>
      <c r="D21" s="296"/>
      <c r="E21" s="296"/>
      <c r="F21" s="296"/>
      <c r="G21" s="297"/>
    </row>
    <row r="22" spans="1:7" ht="12.75" customHeight="1">
      <c r="A22" s="295"/>
      <c r="B22" s="296"/>
      <c r="C22" s="296"/>
      <c r="D22" s="296"/>
      <c r="E22" s="296"/>
      <c r="F22" s="296"/>
      <c r="G22" s="297"/>
    </row>
    <row r="23" spans="1:7" ht="12.75" customHeight="1">
      <c r="A23" s="295"/>
      <c r="B23" s="296"/>
      <c r="C23" s="296"/>
      <c r="D23" s="296"/>
      <c r="E23" s="296"/>
      <c r="F23" s="296"/>
      <c r="G23" s="297"/>
    </row>
    <row r="24" spans="1:7" ht="12.75" customHeight="1">
      <c r="A24" s="295"/>
      <c r="B24" s="296"/>
      <c r="C24" s="296"/>
      <c r="D24" s="296"/>
      <c r="E24" s="296"/>
      <c r="F24" s="296"/>
      <c r="G24" s="297"/>
    </row>
    <row r="25" spans="1:7" ht="12.75" customHeight="1">
      <c r="A25" s="295"/>
      <c r="B25" s="296"/>
      <c r="C25" s="296"/>
      <c r="D25" s="296"/>
      <c r="E25" s="296"/>
      <c r="F25" s="296"/>
      <c r="G25" s="297"/>
    </row>
    <row r="26" spans="1:7" ht="12.75" customHeight="1">
      <c r="A26" s="295"/>
      <c r="B26" s="296"/>
      <c r="C26" s="296"/>
      <c r="D26" s="296"/>
      <c r="E26" s="296"/>
      <c r="F26" s="296"/>
      <c r="G26" s="297"/>
    </row>
    <row r="27" spans="1:7" ht="12.75" customHeight="1">
      <c r="A27" s="295"/>
      <c r="B27" s="296"/>
      <c r="C27" s="296"/>
      <c r="D27" s="296"/>
      <c r="E27" s="296"/>
      <c r="F27" s="296"/>
      <c r="G27" s="297"/>
    </row>
    <row r="28" spans="1:7" ht="12.75" customHeight="1">
      <c r="A28" s="295"/>
      <c r="B28" s="296"/>
      <c r="C28" s="296"/>
      <c r="D28" s="296"/>
      <c r="E28" s="296"/>
      <c r="F28" s="296"/>
      <c r="G28" s="297"/>
    </row>
    <row r="29" spans="1:7" ht="12.75" customHeight="1">
      <c r="A29" s="295"/>
      <c r="B29" s="296"/>
      <c r="C29" s="296"/>
      <c r="D29" s="296"/>
      <c r="E29" s="296"/>
      <c r="F29" s="296"/>
      <c r="G29" s="297"/>
    </row>
    <row r="30" spans="1:7" ht="12.75" customHeight="1">
      <c r="A30" s="295"/>
      <c r="B30" s="296"/>
      <c r="C30" s="296"/>
      <c r="D30" s="296"/>
      <c r="E30" s="296"/>
      <c r="F30" s="296"/>
      <c r="G30" s="297"/>
    </row>
    <row r="31" spans="1:7" ht="12.75" customHeight="1">
      <c r="A31" s="295"/>
      <c r="B31" s="296"/>
      <c r="C31" s="296"/>
      <c r="D31" s="296"/>
      <c r="E31" s="296"/>
      <c r="F31" s="296"/>
      <c r="G31" s="297"/>
    </row>
    <row r="32" spans="1:7" ht="12.75" customHeight="1">
      <c r="A32" s="295"/>
      <c r="B32" s="296"/>
      <c r="C32" s="296"/>
      <c r="D32" s="296"/>
      <c r="E32" s="296"/>
      <c r="F32" s="296"/>
      <c r="G32" s="297"/>
    </row>
    <row r="33" spans="1:7" ht="12.75" customHeight="1">
      <c r="A33" s="295"/>
      <c r="B33" s="296"/>
      <c r="C33" s="296"/>
      <c r="D33" s="296"/>
      <c r="E33" s="296"/>
      <c r="F33" s="296"/>
      <c r="G33" s="297"/>
    </row>
    <row r="34" spans="1:7" ht="12.75" customHeight="1">
      <c r="A34" s="298"/>
      <c r="B34" s="299"/>
      <c r="C34" s="299"/>
      <c r="D34" s="299"/>
      <c r="E34" s="299"/>
      <c r="F34" s="299"/>
      <c r="G34" s="300"/>
    </row>
    <row r="35" spans="1:7" ht="11.25">
      <c r="A35" s="288" t="s">
        <v>374</v>
      </c>
      <c r="G35" s="177"/>
    </row>
  </sheetData>
  <sheetProtection/>
  <mergeCells count="6">
    <mergeCell ref="A5:G5"/>
    <mergeCell ref="A9:A10"/>
    <mergeCell ref="A1:F1"/>
    <mergeCell ref="A2:G2"/>
    <mergeCell ref="A3:G3"/>
    <mergeCell ref="A4:G4"/>
  </mergeCells>
  <printOptions horizontalCentered="1"/>
  <pageMargins left="0.3298611111111111" right="0.3402777777777778" top="0.5902777777777778" bottom="0.39305555555555555" header="0.5118055555555556" footer="0.19652777777777777"/>
  <pageSetup horizontalDpi="300" verticalDpi="300" orientation="portrait" paperSize="9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O80"/>
  <sheetViews>
    <sheetView showGridLines="0" zoomScalePageLayoutView="0" workbookViewId="0" topLeftCell="F1">
      <selection activeCell="J65" sqref="J65"/>
    </sheetView>
  </sheetViews>
  <sheetFormatPr defaultColWidth="9.140625" defaultRowHeight="12.75"/>
  <cols>
    <col min="1" max="1" width="48.8515625" style="0" customWidth="1"/>
    <col min="2" max="2" width="13.00390625" style="0" customWidth="1"/>
    <col min="3" max="4" width="12.57421875" style="0" bestFit="1" customWidth="1"/>
    <col min="5" max="5" width="9.8515625" style="0" bestFit="1" customWidth="1"/>
    <col min="6" max="6" width="13.00390625" style="0" customWidth="1"/>
    <col min="7" max="7" width="11.7109375" style="0" customWidth="1"/>
    <col min="8" max="8" width="12.8515625" style="0" bestFit="1" customWidth="1"/>
    <col min="9" max="9" width="12.28125" style="0" customWidth="1"/>
    <col min="10" max="11" width="11.7109375" style="0" bestFit="1" customWidth="1"/>
    <col min="12" max="12" width="12.57421875" style="0" bestFit="1" customWidth="1"/>
    <col min="13" max="13" width="13.421875" style="0" customWidth="1"/>
    <col min="14" max="14" width="14.7109375" style="0" customWidth="1"/>
    <col min="15" max="15" width="20.57421875" style="0" customWidth="1"/>
  </cols>
  <sheetData>
    <row r="1" spans="1:12" ht="18.75" customHeight="1">
      <c r="A1" s="1760" t="s">
        <v>313</v>
      </c>
      <c r="B1" s="1760"/>
      <c r="C1" s="1760"/>
      <c r="D1" s="1760"/>
      <c r="E1" s="1760"/>
      <c r="F1" s="1761"/>
      <c r="G1" s="1761"/>
      <c r="H1" s="1761"/>
      <c r="I1" s="1761"/>
      <c r="J1" s="1761"/>
      <c r="K1" s="1761"/>
      <c r="L1" s="628"/>
    </row>
    <row r="2" spans="1:12" ht="18.75" customHeight="1">
      <c r="A2" s="1760" t="s">
        <v>0</v>
      </c>
      <c r="B2" s="1760"/>
      <c r="C2" s="1760"/>
      <c r="D2" s="1760"/>
      <c r="E2" s="1760"/>
      <c r="F2" s="1760"/>
      <c r="G2" s="1760"/>
      <c r="H2" s="1760"/>
      <c r="I2" s="1760"/>
      <c r="J2" s="1760"/>
      <c r="K2" s="1760"/>
      <c r="L2" s="628"/>
    </row>
    <row r="3" spans="1:12" ht="18.75" customHeight="1">
      <c r="A3" s="629" t="s">
        <v>375</v>
      </c>
      <c r="B3" s="630"/>
      <c r="C3" s="630"/>
      <c r="D3" s="630"/>
      <c r="E3" s="630"/>
      <c r="F3" s="630"/>
      <c r="G3" s="630"/>
      <c r="H3" s="630"/>
      <c r="I3" s="630"/>
      <c r="J3" s="631"/>
      <c r="K3" s="632"/>
      <c r="L3" s="628"/>
    </row>
    <row r="4" spans="1:12" ht="18.75" customHeight="1">
      <c r="A4" s="627" t="s">
        <v>2</v>
      </c>
      <c r="B4" s="633"/>
      <c r="C4" s="633"/>
      <c r="D4" s="633"/>
      <c r="E4" s="633"/>
      <c r="F4" s="633"/>
      <c r="G4" s="633"/>
      <c r="H4" s="633"/>
      <c r="I4" s="939"/>
      <c r="J4" s="628"/>
      <c r="K4" s="628"/>
      <c r="L4" s="628"/>
    </row>
    <row r="5" spans="1:12" ht="18.75" customHeight="1">
      <c r="A5" s="1762" t="str">
        <f>'Anexo 6 _ RES PRIM'!A5</f>
        <v>Referência: JANEIRO-JUNHO/2015; BIMESTRE: MAIO-JUNHO/2015</v>
      </c>
      <c r="B5" s="1762"/>
      <c r="C5" s="1762"/>
      <c r="D5" s="1762"/>
      <c r="E5" s="1762"/>
      <c r="F5" s="1762"/>
      <c r="G5" s="713"/>
      <c r="H5" s="634"/>
      <c r="I5" s="956"/>
      <c r="J5" s="956"/>
      <c r="K5" s="635"/>
      <c r="L5" s="635"/>
    </row>
    <row r="6" spans="1:12" ht="17.25" customHeight="1">
      <c r="A6" s="636"/>
      <c r="B6" s="637"/>
      <c r="C6" s="638"/>
      <c r="D6" s="639"/>
      <c r="E6" s="640"/>
      <c r="F6" s="641"/>
      <c r="G6" s="641"/>
      <c r="H6" s="661"/>
      <c r="I6" s="1047" t="str">
        <f>'Anexo 5 _ RES NOM'!E3</f>
        <v>Publicação: Diário Oficial do Município nº 140</v>
      </c>
      <c r="J6" s="661"/>
      <c r="K6" s="639"/>
      <c r="L6" s="652"/>
    </row>
    <row r="7" spans="1:12" ht="13.5" customHeight="1">
      <c r="A7" s="642" t="s">
        <v>654</v>
      </c>
      <c r="B7" s="1080"/>
      <c r="C7" s="638"/>
      <c r="D7" s="639"/>
      <c r="E7" s="640"/>
      <c r="F7" s="641"/>
      <c r="G7" s="641"/>
      <c r="H7" s="639"/>
      <c r="I7" s="1047" t="str">
        <f>'Anexo 5 _ RES NOM'!E4</f>
        <v>Data:30/07/2015</v>
      </c>
      <c r="J7" s="1047"/>
      <c r="K7" s="639"/>
      <c r="L7" s="652"/>
    </row>
    <row r="8" spans="1:13" ht="19.5" customHeight="1">
      <c r="A8" s="1763" t="s">
        <v>376</v>
      </c>
      <c r="B8" s="1753" t="s">
        <v>481</v>
      </c>
      <c r="C8" s="1753"/>
      <c r="D8" s="1753"/>
      <c r="E8" s="1753"/>
      <c r="F8" s="1753"/>
      <c r="G8" s="1764" t="s">
        <v>563</v>
      </c>
      <c r="H8" s="1765"/>
      <c r="I8" s="1765"/>
      <c r="J8" s="1765"/>
      <c r="K8" s="1765"/>
      <c r="L8" s="1766"/>
      <c r="M8" s="1754" t="s">
        <v>858</v>
      </c>
    </row>
    <row r="9" spans="1:13" ht="19.5" customHeight="1" thickBot="1">
      <c r="A9" s="1763"/>
      <c r="B9" s="1752" t="s">
        <v>377</v>
      </c>
      <c r="C9" s="1752"/>
      <c r="D9" s="1753" t="s">
        <v>379</v>
      </c>
      <c r="E9" s="1753" t="s">
        <v>378</v>
      </c>
      <c r="F9" s="1748" t="s">
        <v>857</v>
      </c>
      <c r="G9" s="1750" t="s">
        <v>377</v>
      </c>
      <c r="H9" s="1751"/>
      <c r="I9" s="1758" t="s">
        <v>564</v>
      </c>
      <c r="J9" s="1753" t="s">
        <v>379</v>
      </c>
      <c r="K9" s="1753" t="s">
        <v>378</v>
      </c>
      <c r="L9" s="1746" t="s">
        <v>856</v>
      </c>
      <c r="M9" s="1755"/>
    </row>
    <row r="10" spans="1:13" ht="27" customHeight="1">
      <c r="A10" s="1763"/>
      <c r="B10" s="643" t="s">
        <v>380</v>
      </c>
      <c r="C10" s="644" t="s">
        <v>838</v>
      </c>
      <c r="D10" s="1753"/>
      <c r="E10" s="1753"/>
      <c r="F10" s="1749"/>
      <c r="G10" s="643" t="s">
        <v>380</v>
      </c>
      <c r="H10" s="644" t="s">
        <v>837</v>
      </c>
      <c r="I10" s="1759"/>
      <c r="J10" s="1753"/>
      <c r="K10" s="1753"/>
      <c r="L10" s="1747"/>
      <c r="M10" s="1756"/>
    </row>
    <row r="11" spans="1:13" ht="19.5" customHeight="1">
      <c r="A11" s="759" t="s">
        <v>381</v>
      </c>
      <c r="B11" s="645">
        <f aca="true" t="shared" si="0" ref="B11:M11">B12+B14</f>
        <v>363002240.64</v>
      </c>
      <c r="C11" s="645">
        <f t="shared" si="0"/>
        <v>166027180.26</v>
      </c>
      <c r="D11" s="645">
        <f t="shared" si="0"/>
        <v>108836664.73999998</v>
      </c>
      <c r="E11" s="645">
        <f t="shared" si="0"/>
        <v>133025.7</v>
      </c>
      <c r="F11" s="645">
        <f>B11+C11-D11-E11</f>
        <v>420059730.46</v>
      </c>
      <c r="G11" s="645">
        <f t="shared" si="0"/>
        <v>91982761.89</v>
      </c>
      <c r="H11" s="645">
        <f t="shared" si="0"/>
        <v>145783179.92000002</v>
      </c>
      <c r="I11" s="645">
        <f t="shared" si="0"/>
        <v>57777646.39</v>
      </c>
      <c r="J11" s="645">
        <f t="shared" si="0"/>
        <v>46584450.93000001</v>
      </c>
      <c r="K11" s="645">
        <f t="shared" si="0"/>
        <v>12037205.32</v>
      </c>
      <c r="L11" s="1148">
        <f>G11+H11-J11-K11</f>
        <v>179144285.56</v>
      </c>
      <c r="M11" s="645">
        <f t="shared" si="0"/>
        <v>599204016.0199999</v>
      </c>
    </row>
    <row r="12" spans="1:13" ht="19.5" customHeight="1">
      <c r="A12" s="760" t="s">
        <v>565</v>
      </c>
      <c r="B12" s="646">
        <f>B13</f>
        <v>0</v>
      </c>
      <c r="C12" s="647">
        <f>C13</f>
        <v>0</v>
      </c>
      <c r="D12" s="648">
        <f>D13</f>
        <v>0</v>
      </c>
      <c r="E12" s="648">
        <f>E13</f>
        <v>0</v>
      </c>
      <c r="F12" s="646">
        <f aca="true" t="shared" si="1" ref="F12:M12">F13</f>
        <v>0</v>
      </c>
      <c r="G12" s="940">
        <f t="shared" si="1"/>
        <v>0</v>
      </c>
      <c r="H12" s="940">
        <f t="shared" si="1"/>
        <v>0</v>
      </c>
      <c r="I12" s="645">
        <f t="shared" si="1"/>
        <v>0</v>
      </c>
      <c r="J12" s="645">
        <f t="shared" si="1"/>
        <v>0</v>
      </c>
      <c r="K12" s="645">
        <f t="shared" si="1"/>
        <v>0</v>
      </c>
      <c r="L12" s="1149">
        <f>L13</f>
        <v>0</v>
      </c>
      <c r="M12" s="940">
        <f t="shared" si="1"/>
        <v>0</v>
      </c>
    </row>
    <row r="13" spans="1:14" ht="19.5" customHeight="1">
      <c r="A13" s="761" t="s">
        <v>382</v>
      </c>
      <c r="B13" s="646">
        <v>0</v>
      </c>
      <c r="C13" s="650">
        <v>0</v>
      </c>
      <c r="D13" s="646">
        <v>0</v>
      </c>
      <c r="E13" s="646">
        <v>0</v>
      </c>
      <c r="F13" s="646">
        <f>B13+C13-D13-E13</f>
        <v>0</v>
      </c>
      <c r="G13" s="646">
        <v>0</v>
      </c>
      <c r="H13" s="646">
        <v>0</v>
      </c>
      <c r="I13" s="1045">
        <v>0</v>
      </c>
      <c r="J13" s="646">
        <v>0</v>
      </c>
      <c r="K13" s="646">
        <v>0</v>
      </c>
      <c r="L13" s="1150">
        <f>G13+H13-J13-K13</f>
        <v>0</v>
      </c>
      <c r="M13" s="1154">
        <f aca="true" t="shared" si="2" ref="M13:M59">F13+L13</f>
        <v>0</v>
      </c>
      <c r="N13" s="1048"/>
    </row>
    <row r="14" spans="1:14" ht="19.5" customHeight="1">
      <c r="A14" s="762" t="s">
        <v>383</v>
      </c>
      <c r="B14" s="653">
        <f aca="true" t="shared" si="3" ref="B14:M14">B15+B44</f>
        <v>363002240.64</v>
      </c>
      <c r="C14" s="732">
        <f t="shared" si="3"/>
        <v>166027180.26</v>
      </c>
      <c r="D14" s="941">
        <f t="shared" si="3"/>
        <v>108836664.73999998</v>
      </c>
      <c r="E14" s="941">
        <f t="shared" si="3"/>
        <v>133025.7</v>
      </c>
      <c r="F14" s="659">
        <f t="shared" si="3"/>
        <v>420059730.4599999</v>
      </c>
      <c r="G14" s="653">
        <f t="shared" si="3"/>
        <v>91982761.89</v>
      </c>
      <c r="H14" s="653">
        <f t="shared" si="3"/>
        <v>145783179.92000002</v>
      </c>
      <c r="I14" s="645">
        <f t="shared" si="3"/>
        <v>57777646.39</v>
      </c>
      <c r="J14" s="645">
        <f t="shared" si="3"/>
        <v>46584450.93000001</v>
      </c>
      <c r="K14" s="645">
        <f t="shared" si="3"/>
        <v>12037205.32</v>
      </c>
      <c r="L14" s="732">
        <f t="shared" si="3"/>
        <v>179144285.56000003</v>
      </c>
      <c r="M14" s="1155">
        <f t="shared" si="3"/>
        <v>599204016.0199999</v>
      </c>
      <c r="N14" s="1049"/>
    </row>
    <row r="15" spans="1:15" ht="19.5" customHeight="1">
      <c r="A15" s="763" t="s">
        <v>566</v>
      </c>
      <c r="B15" s="654">
        <f aca="true" t="shared" si="4" ref="B15:M15">SUM(B16:B42)</f>
        <v>255247202.44000003</v>
      </c>
      <c r="C15" s="649">
        <f t="shared" si="4"/>
        <v>125247367.24999997</v>
      </c>
      <c r="D15" s="653">
        <f t="shared" si="4"/>
        <v>80815329.45999998</v>
      </c>
      <c r="E15" s="653">
        <f t="shared" si="4"/>
        <v>27499.7</v>
      </c>
      <c r="F15" s="649">
        <f t="shared" si="4"/>
        <v>299651740.53</v>
      </c>
      <c r="G15" s="649">
        <f t="shared" si="4"/>
        <v>50216330.43000001</v>
      </c>
      <c r="H15" s="649">
        <f t="shared" si="4"/>
        <v>99269274.10000002</v>
      </c>
      <c r="I15" s="645">
        <f t="shared" si="4"/>
        <v>36298741.55</v>
      </c>
      <c r="J15" s="645">
        <f t="shared" si="4"/>
        <v>27095836.630000006</v>
      </c>
      <c r="K15" s="645">
        <f t="shared" si="4"/>
        <v>9314222.280000001</v>
      </c>
      <c r="L15" s="1151">
        <f t="shared" si="4"/>
        <v>113075545.62000002</v>
      </c>
      <c r="M15" s="1156">
        <f t="shared" si="4"/>
        <v>412727286.14999986</v>
      </c>
      <c r="N15" s="809"/>
      <c r="O15" s="1048"/>
    </row>
    <row r="16" spans="1:14" ht="19.5" customHeight="1">
      <c r="A16" s="764" t="s">
        <v>384</v>
      </c>
      <c r="B16" s="646">
        <f>609658.35-609333.35+611927.64-0+19.85+179.35</f>
        <v>612451.84</v>
      </c>
      <c r="C16" s="655">
        <v>382495.93</v>
      </c>
      <c r="D16" s="655">
        <v>365457.44</v>
      </c>
      <c r="E16" s="655"/>
      <c r="F16" s="651">
        <f>B16+C16-D16-E16</f>
        <v>629490.3300000001</v>
      </c>
      <c r="G16" s="651">
        <v>0</v>
      </c>
      <c r="H16" s="655">
        <v>272351.35</v>
      </c>
      <c r="I16" s="644">
        <v>216722.11</v>
      </c>
      <c r="J16" s="644">
        <v>216722.11</v>
      </c>
      <c r="K16" s="644"/>
      <c r="L16" s="1152">
        <f>G16+H16-J16-K16</f>
        <v>55629.23999999999</v>
      </c>
      <c r="M16" s="1157">
        <f t="shared" si="2"/>
        <v>685119.5700000001</v>
      </c>
      <c r="N16" s="809"/>
    </row>
    <row r="17" spans="1:13" ht="19.5" customHeight="1">
      <c r="A17" s="764" t="s">
        <v>385</v>
      </c>
      <c r="B17" s="646">
        <f>44506.48-42248.5+9998.68+11907+6618.98+6009.45</f>
        <v>36792.090000000004</v>
      </c>
      <c r="C17" s="655">
        <v>184988.22</v>
      </c>
      <c r="D17" s="655">
        <v>35206.98</v>
      </c>
      <c r="E17" s="655">
        <v>25813.09</v>
      </c>
      <c r="F17" s="651">
        <f aca="true" t="shared" si="5" ref="F17:F42">B17+C17-D17-E17</f>
        <v>160760.24</v>
      </c>
      <c r="G17" s="651">
        <v>0</v>
      </c>
      <c r="H17" s="651">
        <v>93094.86</v>
      </c>
      <c r="I17" s="644"/>
      <c r="J17" s="644"/>
      <c r="K17" s="644">
        <v>73075.12</v>
      </c>
      <c r="L17" s="1152">
        <f aca="true" t="shared" si="6" ref="L17:L42">G17+H17-J17-K17</f>
        <v>20019.740000000005</v>
      </c>
      <c r="M17" s="1157">
        <f t="shared" si="2"/>
        <v>180779.97999999998</v>
      </c>
    </row>
    <row r="18" spans="1:13" ht="19.5" customHeight="1">
      <c r="A18" s="764" t="s">
        <v>386</v>
      </c>
      <c r="B18" s="646">
        <f>207866.11-198470.11+444285.03+4808.1+7300.81+35416.96</f>
        <v>501206.9</v>
      </c>
      <c r="C18" s="655">
        <v>21891.45</v>
      </c>
      <c r="D18" s="655">
        <v>5761.45</v>
      </c>
      <c r="E18" s="655"/>
      <c r="F18" s="651">
        <f t="shared" si="5"/>
        <v>517336.9</v>
      </c>
      <c r="G18" s="651">
        <v>0</v>
      </c>
      <c r="H18" s="651">
        <v>837432.21</v>
      </c>
      <c r="I18" s="644">
        <v>21066.44</v>
      </c>
      <c r="J18" s="644">
        <v>21066.44</v>
      </c>
      <c r="K18" s="644"/>
      <c r="L18" s="1152">
        <f t="shared" si="6"/>
        <v>816365.77</v>
      </c>
      <c r="M18" s="1157">
        <f t="shared" si="2"/>
        <v>1333702.67</v>
      </c>
    </row>
    <row r="19" spans="1:13" ht="19.5" customHeight="1">
      <c r="A19" s="764" t="s">
        <v>387</v>
      </c>
      <c r="B19" s="646">
        <f>31538.31-18000+439.75+169680.98+0.9+0.01</f>
        <v>183659.95</v>
      </c>
      <c r="C19" s="655">
        <v>34417.42</v>
      </c>
      <c r="D19" s="655">
        <v>31547.42</v>
      </c>
      <c r="E19" s="655"/>
      <c r="F19" s="651">
        <f t="shared" si="5"/>
        <v>186529.95</v>
      </c>
      <c r="G19" s="651">
        <v>0</v>
      </c>
      <c r="H19" s="651">
        <v>0</v>
      </c>
      <c r="I19" s="644"/>
      <c r="J19" s="644"/>
      <c r="K19" s="644"/>
      <c r="L19" s="1152">
        <f t="shared" si="6"/>
        <v>0</v>
      </c>
      <c r="M19" s="1157">
        <f t="shared" si="2"/>
        <v>186529.95</v>
      </c>
    </row>
    <row r="20" spans="1:13" ht="19.5" customHeight="1">
      <c r="A20" s="764" t="s">
        <v>567</v>
      </c>
      <c r="B20" s="646">
        <f>11975+15455.74+865.44</f>
        <v>28296.179999999997</v>
      </c>
      <c r="C20" s="655">
        <v>0</v>
      </c>
      <c r="D20" s="655"/>
      <c r="E20" s="655"/>
      <c r="F20" s="651">
        <f t="shared" si="5"/>
        <v>28296.179999999997</v>
      </c>
      <c r="G20" s="651">
        <v>0</v>
      </c>
      <c r="H20" s="651">
        <v>38045.38</v>
      </c>
      <c r="I20" s="644"/>
      <c r="J20" s="644"/>
      <c r="K20" s="644"/>
      <c r="L20" s="1152">
        <f t="shared" si="6"/>
        <v>38045.38</v>
      </c>
      <c r="M20" s="1157">
        <f t="shared" si="2"/>
        <v>66341.56</v>
      </c>
    </row>
    <row r="21" spans="1:13" ht="19.5" customHeight="1">
      <c r="A21" s="764" t="s">
        <v>568</v>
      </c>
      <c r="B21" s="646">
        <v>0.01</v>
      </c>
      <c r="C21" s="655">
        <v>0</v>
      </c>
      <c r="D21" s="655"/>
      <c r="E21" s="655"/>
      <c r="F21" s="651">
        <f t="shared" si="5"/>
        <v>0.01</v>
      </c>
      <c r="G21" s="651">
        <v>0</v>
      </c>
      <c r="H21" s="651">
        <v>0</v>
      </c>
      <c r="I21" s="644"/>
      <c r="J21" s="644"/>
      <c r="K21" s="644"/>
      <c r="L21" s="1152">
        <f t="shared" si="6"/>
        <v>0</v>
      </c>
      <c r="M21" s="1157">
        <f t="shared" si="2"/>
        <v>0.01</v>
      </c>
    </row>
    <row r="22" spans="1:13" ht="19.5" customHeight="1">
      <c r="A22" s="764" t="s">
        <v>569</v>
      </c>
      <c r="B22" s="646">
        <f>1817345.65-1812954.42+125187.15+5435.7+7164.9</f>
        <v>142178.97999999998</v>
      </c>
      <c r="C22" s="655">
        <v>7538481.85</v>
      </c>
      <c r="D22" s="655">
        <v>7458031.28</v>
      </c>
      <c r="E22" s="655"/>
      <c r="F22" s="651">
        <f t="shared" si="5"/>
        <v>222629.5499999998</v>
      </c>
      <c r="G22" s="651">
        <v>0</v>
      </c>
      <c r="H22" s="651">
        <v>1273844.54</v>
      </c>
      <c r="I22" s="1046">
        <v>1189234.56</v>
      </c>
      <c r="J22" s="644">
        <v>1079724.06</v>
      </c>
      <c r="K22" s="644"/>
      <c r="L22" s="1152">
        <f t="shared" si="6"/>
        <v>194120.47999999998</v>
      </c>
      <c r="M22" s="1157">
        <f t="shared" si="2"/>
        <v>416750.0299999998</v>
      </c>
    </row>
    <row r="23" spans="1:13" ht="19.5" customHeight="1">
      <c r="A23" s="764" t="s">
        <v>388</v>
      </c>
      <c r="B23" s="646">
        <f>318812.4-297435.18+288534.95+51323.6+1481.23+1850.73</f>
        <v>364567.73</v>
      </c>
      <c r="C23" s="655">
        <v>166631.32</v>
      </c>
      <c r="D23" s="655">
        <v>182408.54</v>
      </c>
      <c r="E23" s="655"/>
      <c r="F23" s="651">
        <f t="shared" si="5"/>
        <v>348790.51</v>
      </c>
      <c r="G23" s="651">
        <v>0</v>
      </c>
      <c r="H23" s="651">
        <v>129993.49</v>
      </c>
      <c r="I23" s="644">
        <v>32538.05</v>
      </c>
      <c r="J23" s="644">
        <v>19190</v>
      </c>
      <c r="K23" s="644"/>
      <c r="L23" s="1152">
        <f t="shared" si="6"/>
        <v>110803.49</v>
      </c>
      <c r="M23" s="1157">
        <f t="shared" si="2"/>
        <v>459594</v>
      </c>
    </row>
    <row r="24" spans="1:13" ht="19.5" customHeight="1">
      <c r="A24" s="764" t="s">
        <v>389</v>
      </c>
      <c r="B24" s="646">
        <f>357041.12-135210.46+858760.13-273182+46000+24059.08</f>
        <v>877467.87</v>
      </c>
      <c r="C24" s="655">
        <v>315349.2</v>
      </c>
      <c r="D24" s="655">
        <v>300081.2</v>
      </c>
      <c r="E24" s="655"/>
      <c r="F24" s="651">
        <f t="shared" si="5"/>
        <v>892735.8700000001</v>
      </c>
      <c r="G24" s="651">
        <v>0</v>
      </c>
      <c r="H24" s="651">
        <v>834207.93</v>
      </c>
      <c r="I24" s="644"/>
      <c r="J24" s="644"/>
      <c r="K24" s="651"/>
      <c r="L24" s="1152">
        <f t="shared" si="6"/>
        <v>834207.93</v>
      </c>
      <c r="M24" s="1157">
        <f t="shared" si="2"/>
        <v>1726943.8000000003</v>
      </c>
    </row>
    <row r="25" spans="1:13" ht="19.5" customHeight="1">
      <c r="A25" s="764" t="s">
        <v>570</v>
      </c>
      <c r="B25" s="646">
        <f>33008386.98-28820028.25+103471076.33-878100.69+1138081.79-136942.54+1021541.06+2588266.91+900970.95</f>
        <v>112293252.54</v>
      </c>
      <c r="C25" s="655">
        <v>18372608.21</v>
      </c>
      <c r="D25" s="655">
        <v>15345016.89</v>
      </c>
      <c r="E25" s="655"/>
      <c r="F25" s="651">
        <f t="shared" si="5"/>
        <v>115320843.86</v>
      </c>
      <c r="G25" s="651">
        <f>42238514.49-33008386.98+104418479.58-103471076.33</f>
        <v>10177530.760000005</v>
      </c>
      <c r="H25" s="651">
        <v>45666189.45</v>
      </c>
      <c r="I25" s="644">
        <v>18404920.33</v>
      </c>
      <c r="J25" s="644">
        <v>13275657.7</v>
      </c>
      <c r="K25" s="644">
        <v>2101574.15</v>
      </c>
      <c r="L25" s="1152">
        <f t="shared" si="6"/>
        <v>40466488.36000001</v>
      </c>
      <c r="M25" s="1157">
        <f t="shared" si="2"/>
        <v>155787332.22</v>
      </c>
    </row>
    <row r="26" spans="1:13" ht="19.5" customHeight="1">
      <c r="A26" s="764" t="s">
        <v>571</v>
      </c>
      <c r="B26" s="646">
        <f>60966926.34-50693931.23+27423917.77-569040.38+33199790.94-111533.75+6353377.96+986129.08+92921.95</f>
        <v>77648558.68</v>
      </c>
      <c r="C26" s="655">
        <v>57169079.06</v>
      </c>
      <c r="D26" s="655">
        <v>32444601.15</v>
      </c>
      <c r="E26" s="655"/>
      <c r="F26" s="651">
        <f t="shared" si="5"/>
        <v>102373036.59</v>
      </c>
      <c r="G26" s="651">
        <f>75166958.5-60966926.34+33685872.34-27423917.77+47026023.21-33199790.94+8186133.73-6353377.96</f>
        <v>36120974.77</v>
      </c>
      <c r="H26" s="651">
        <v>15876257.42</v>
      </c>
      <c r="I26" s="644">
        <v>6285467.61</v>
      </c>
      <c r="J26" s="644">
        <v>4587538.66</v>
      </c>
      <c r="K26" s="655">
        <v>414482.9</v>
      </c>
      <c r="L26" s="1152">
        <f t="shared" si="6"/>
        <v>46995210.63</v>
      </c>
      <c r="M26" s="1157">
        <f t="shared" si="2"/>
        <v>149368247.22</v>
      </c>
    </row>
    <row r="27" spans="1:13" ht="19.5" customHeight="1">
      <c r="A27" s="764" t="s">
        <v>572</v>
      </c>
      <c r="B27" s="646">
        <f>199446.68-184669.28+650979.28+27285.23+11063.3+7697.55</f>
        <v>711802.7600000001</v>
      </c>
      <c r="C27" s="655">
        <v>633283.39</v>
      </c>
      <c r="D27" s="655">
        <v>635655.7</v>
      </c>
      <c r="E27" s="655"/>
      <c r="F27" s="651">
        <f t="shared" si="5"/>
        <v>709430.4500000002</v>
      </c>
      <c r="G27" s="651">
        <v>0</v>
      </c>
      <c r="H27" s="651">
        <v>1666858.89</v>
      </c>
      <c r="I27" s="644">
        <v>556554.35</v>
      </c>
      <c r="J27" s="644">
        <v>556554.35</v>
      </c>
      <c r="K27" s="655">
        <v>865316.47</v>
      </c>
      <c r="L27" s="1152">
        <f t="shared" si="6"/>
        <v>244988.07000000007</v>
      </c>
      <c r="M27" s="1157">
        <f t="shared" si="2"/>
        <v>954418.5200000003</v>
      </c>
    </row>
    <row r="28" spans="1:13" ht="19.5" customHeight="1">
      <c r="A28" s="764" t="s">
        <v>573</v>
      </c>
      <c r="B28" s="646">
        <f>655624.78-531402.88+222505.67+174890.54+57832.4+26633.57+393705.75</f>
        <v>999789.8300000001</v>
      </c>
      <c r="C28" s="655">
        <v>852897.44</v>
      </c>
      <c r="D28" s="655">
        <v>600969.77</v>
      </c>
      <c r="E28" s="655"/>
      <c r="F28" s="651">
        <f t="shared" si="5"/>
        <v>1251717.5</v>
      </c>
      <c r="G28" s="651">
        <v>0</v>
      </c>
      <c r="H28" s="651">
        <v>319876.09</v>
      </c>
      <c r="I28" s="644">
        <v>138900.97</v>
      </c>
      <c r="J28" s="644">
        <v>119593.41</v>
      </c>
      <c r="K28" s="644"/>
      <c r="L28" s="1152">
        <f t="shared" si="6"/>
        <v>200282.68000000002</v>
      </c>
      <c r="M28" s="1157">
        <f t="shared" si="2"/>
        <v>1452000.18</v>
      </c>
    </row>
    <row r="29" spans="1:13" ht="19.5" customHeight="1">
      <c r="A29" s="764" t="s">
        <v>574</v>
      </c>
      <c r="B29" s="646">
        <f>30841.6+320+10116.97+6635.29+300</f>
        <v>48213.86</v>
      </c>
      <c r="C29" s="655">
        <v>0</v>
      </c>
      <c r="D29" s="655"/>
      <c r="E29" s="655"/>
      <c r="F29" s="651">
        <f t="shared" si="5"/>
        <v>48213.86</v>
      </c>
      <c r="G29" s="651">
        <v>0</v>
      </c>
      <c r="H29" s="651">
        <v>40868.76</v>
      </c>
      <c r="I29" s="644"/>
      <c r="J29" s="644"/>
      <c r="K29" s="644"/>
      <c r="L29" s="1152">
        <f t="shared" si="6"/>
        <v>40868.76</v>
      </c>
      <c r="M29" s="1157">
        <f t="shared" si="2"/>
        <v>89082.62</v>
      </c>
    </row>
    <row r="30" spans="1:13" ht="19.5" customHeight="1">
      <c r="A30" s="764" t="s">
        <v>575</v>
      </c>
      <c r="B30" s="646">
        <f>681926.05-600077.75+410384.34-102123.49+29111.33+133500.82+553.45</f>
        <v>553274.75</v>
      </c>
      <c r="C30" s="656">
        <v>370237.21</v>
      </c>
      <c r="D30" s="655">
        <v>204364.37</v>
      </c>
      <c r="E30" s="655"/>
      <c r="F30" s="651">
        <f t="shared" si="5"/>
        <v>719147.59</v>
      </c>
      <c r="G30" s="651">
        <v>0</v>
      </c>
      <c r="H30" s="651">
        <v>834515.49</v>
      </c>
      <c r="I30" s="644">
        <v>125832.54</v>
      </c>
      <c r="J30" s="644">
        <v>111883.3</v>
      </c>
      <c r="K30" s="644">
        <v>519419.56</v>
      </c>
      <c r="L30" s="1152">
        <f t="shared" si="6"/>
        <v>203212.62999999995</v>
      </c>
      <c r="M30" s="1157">
        <f t="shared" si="2"/>
        <v>922360.22</v>
      </c>
    </row>
    <row r="31" spans="1:13" ht="19.5" customHeight="1">
      <c r="A31" s="764" t="s">
        <v>576</v>
      </c>
      <c r="B31" s="646">
        <f>3044885.47-2649847.23+6094438.37+134778.55+1068572.04+15094.54+655203.09</f>
        <v>8363124.83</v>
      </c>
      <c r="C31" s="656">
        <v>2144816.1</v>
      </c>
      <c r="D31" s="655">
        <v>2511485.73</v>
      </c>
      <c r="E31" s="655"/>
      <c r="F31" s="651">
        <f t="shared" si="5"/>
        <v>7996455.199999999</v>
      </c>
      <c r="G31" s="651">
        <f>3988248.4-3044885.47</f>
        <v>943362.9299999997</v>
      </c>
      <c r="H31" s="651">
        <v>1047618.17</v>
      </c>
      <c r="I31" s="644">
        <v>221461.46</v>
      </c>
      <c r="J31" s="644">
        <v>221461.46</v>
      </c>
      <c r="K31" s="644">
        <v>19200</v>
      </c>
      <c r="L31" s="1152">
        <f t="shared" si="6"/>
        <v>1750319.6399999997</v>
      </c>
      <c r="M31" s="1157">
        <f t="shared" si="2"/>
        <v>9746774.84</v>
      </c>
    </row>
    <row r="32" spans="1:13" ht="19.5" customHeight="1">
      <c r="A32" s="764" t="s">
        <v>577</v>
      </c>
      <c r="B32" s="646">
        <f>1087458.16-684339.14+664050.46-39136+603498.26+227032.25+104866.66+1140.74</f>
        <v>1964571.39</v>
      </c>
      <c r="C32" s="655">
        <v>506480.58</v>
      </c>
      <c r="D32" s="655">
        <v>466080.58</v>
      </c>
      <c r="E32" s="655"/>
      <c r="F32" s="651">
        <f t="shared" si="5"/>
        <v>2004971.3899999997</v>
      </c>
      <c r="G32" s="651">
        <v>0</v>
      </c>
      <c r="H32" s="651">
        <v>1939466.84</v>
      </c>
      <c r="I32" s="644">
        <v>385585.9</v>
      </c>
      <c r="J32" s="644">
        <v>92984.02</v>
      </c>
      <c r="K32" s="644">
        <v>855966.84</v>
      </c>
      <c r="L32" s="1152">
        <f t="shared" si="6"/>
        <v>990515.9800000001</v>
      </c>
      <c r="M32" s="1157">
        <f t="shared" si="2"/>
        <v>2995487.3699999996</v>
      </c>
    </row>
    <row r="33" spans="1:13" ht="19.5" customHeight="1">
      <c r="A33" s="764" t="s">
        <v>578</v>
      </c>
      <c r="B33" s="646">
        <f>1122253.19-863541.77+901553.87-41050.87+71274.07+209305.04-0.2+138336.18-2548.03+56463.82-8974.08</f>
        <v>1583071.22</v>
      </c>
      <c r="C33" s="655">
        <v>1600561.72</v>
      </c>
      <c r="D33" s="655">
        <v>1709534.59</v>
      </c>
      <c r="E33" s="655"/>
      <c r="F33" s="651">
        <f t="shared" si="5"/>
        <v>1474098.3499999999</v>
      </c>
      <c r="G33" s="651">
        <v>0</v>
      </c>
      <c r="H33" s="651">
        <v>2419418.64</v>
      </c>
      <c r="I33" s="644">
        <v>2091570.75</v>
      </c>
      <c r="J33" s="644">
        <v>1068002.59</v>
      </c>
      <c r="K33" s="644">
        <v>16390</v>
      </c>
      <c r="L33" s="1152">
        <f t="shared" si="6"/>
        <v>1335026.05</v>
      </c>
      <c r="M33" s="1157">
        <f t="shared" si="2"/>
        <v>2809124.4</v>
      </c>
    </row>
    <row r="34" spans="1:13" ht="19.5" customHeight="1">
      <c r="A34" s="764" t="s">
        <v>390</v>
      </c>
      <c r="B34" s="646">
        <f>1374056.37-1361363.44+9857.81+4178950.11+71101.51</f>
        <v>4272602.359999999</v>
      </c>
      <c r="C34" s="655">
        <v>1216746.75</v>
      </c>
      <c r="D34" s="655">
        <v>324923.05</v>
      </c>
      <c r="E34" s="644"/>
      <c r="F34" s="651">
        <f>B34+C34-D34-E34</f>
        <v>5164426.06</v>
      </c>
      <c r="G34" s="651">
        <v>0</v>
      </c>
      <c r="H34" s="651">
        <v>1904993.56</v>
      </c>
      <c r="I34" s="644">
        <v>1262779.93</v>
      </c>
      <c r="J34" s="644">
        <v>1262779.93</v>
      </c>
      <c r="K34" s="644">
        <v>642213.63</v>
      </c>
      <c r="L34" s="1152">
        <f t="shared" si="6"/>
        <v>0</v>
      </c>
      <c r="M34" s="1157">
        <f t="shared" si="2"/>
        <v>5164426.06</v>
      </c>
    </row>
    <row r="35" spans="1:13" ht="19.5" customHeight="1">
      <c r="A35" s="764" t="s">
        <v>391</v>
      </c>
      <c r="B35" s="646">
        <f>9989660.52-8097589.3+23533912.75+788550.17+428958.77</f>
        <v>26643492.91</v>
      </c>
      <c r="C35" s="655">
        <v>15653188.7</v>
      </c>
      <c r="D35" s="655">
        <v>7511339.02</v>
      </c>
      <c r="E35" s="655"/>
      <c r="F35" s="651">
        <f t="shared" si="5"/>
        <v>34785342.59</v>
      </c>
      <c r="G35" s="651">
        <v>0</v>
      </c>
      <c r="H35" s="651">
        <v>7994643.83</v>
      </c>
      <c r="I35" s="644">
        <v>1679233.67</v>
      </c>
      <c r="J35" s="644">
        <v>1679233.67</v>
      </c>
      <c r="K35" s="644">
        <v>1525182.98</v>
      </c>
      <c r="L35" s="1152">
        <f t="shared" si="6"/>
        <v>4790227.18</v>
      </c>
      <c r="M35" s="1157">
        <f t="shared" si="2"/>
        <v>39575569.77</v>
      </c>
    </row>
    <row r="36" spans="1:13" ht="19.5" customHeight="1">
      <c r="A36" s="764" t="s">
        <v>579</v>
      </c>
      <c r="B36" s="646">
        <f>4068862.22-2533087.9+3610143.8-618452+26160.65+115000+511195.01+113333.32</f>
        <v>5293155.100000001</v>
      </c>
      <c r="C36" s="656">
        <v>6614040.03</v>
      </c>
      <c r="D36" s="655">
        <v>2930102.07</v>
      </c>
      <c r="E36" s="655"/>
      <c r="F36" s="651">
        <f t="shared" si="5"/>
        <v>8977093.06</v>
      </c>
      <c r="G36" s="651">
        <v>0</v>
      </c>
      <c r="H36" s="651">
        <v>536840.1</v>
      </c>
      <c r="I36" s="644"/>
      <c r="J36" s="644"/>
      <c r="K36" s="644">
        <v>330758.33</v>
      </c>
      <c r="L36" s="1152">
        <f t="shared" si="6"/>
        <v>206081.76999999996</v>
      </c>
      <c r="M36" s="1157">
        <f t="shared" si="2"/>
        <v>9183174.83</v>
      </c>
    </row>
    <row r="37" spans="1:13" ht="19.5" customHeight="1">
      <c r="A37" s="764" t="s">
        <v>580</v>
      </c>
      <c r="B37" s="646">
        <f>6679519.74+0.34+120+360</f>
        <v>6680000.08</v>
      </c>
      <c r="C37" s="656">
        <v>3458080.32</v>
      </c>
      <c r="D37" s="655">
        <v>2050480.32</v>
      </c>
      <c r="E37" s="655"/>
      <c r="F37" s="651">
        <f t="shared" si="5"/>
        <v>8087600.08</v>
      </c>
      <c r="G37" s="651">
        <v>0</v>
      </c>
      <c r="H37" s="651">
        <v>427739.17</v>
      </c>
      <c r="I37" s="644">
        <v>178680.26</v>
      </c>
      <c r="J37" s="644">
        <v>169680.26</v>
      </c>
      <c r="K37" s="644"/>
      <c r="L37" s="1152">
        <f t="shared" si="6"/>
        <v>258058.90999999997</v>
      </c>
      <c r="M37" s="1157">
        <f t="shared" si="2"/>
        <v>8345658.99</v>
      </c>
    </row>
    <row r="38" spans="1:13" ht="19.5" customHeight="1">
      <c r="A38" s="764" t="s">
        <v>581</v>
      </c>
      <c r="B38" s="646">
        <f>469225.68-375030.1+841760.18-350100+111431.24+172381.65+54080.45+3698.04</f>
        <v>927447.14</v>
      </c>
      <c r="C38" s="656">
        <v>2028201.06</v>
      </c>
      <c r="D38" s="655">
        <v>1819622.38</v>
      </c>
      <c r="E38" s="655">
        <v>1686.61</v>
      </c>
      <c r="F38" s="651">
        <f t="shared" si="5"/>
        <v>1134339.2100000002</v>
      </c>
      <c r="G38" s="651">
        <v>0</v>
      </c>
      <c r="H38" s="651">
        <v>441983.79</v>
      </c>
      <c r="I38" s="644">
        <v>253.32</v>
      </c>
      <c r="J38" s="644">
        <v>169.68</v>
      </c>
      <c r="K38" s="644"/>
      <c r="L38" s="1152">
        <f t="shared" si="6"/>
        <v>441814.11</v>
      </c>
      <c r="M38" s="1157">
        <f t="shared" si="2"/>
        <v>1576153.3200000003</v>
      </c>
    </row>
    <row r="39" spans="1:13" ht="19.5" customHeight="1">
      <c r="A39" s="764" t="s">
        <v>806</v>
      </c>
      <c r="B39" s="646">
        <f>119114.54-117674.54+272.65+6436.7</f>
        <v>8149.35</v>
      </c>
      <c r="C39" s="655">
        <v>124912.83</v>
      </c>
      <c r="D39" s="655">
        <v>120921.95</v>
      </c>
      <c r="E39" s="655"/>
      <c r="F39" s="651">
        <f t="shared" si="5"/>
        <v>12140.229999999996</v>
      </c>
      <c r="G39" s="651">
        <v>0</v>
      </c>
      <c r="H39" s="651">
        <v>628820.14</v>
      </c>
      <c r="I39" s="644">
        <v>15865.17</v>
      </c>
      <c r="J39" s="644">
        <v>7689.53</v>
      </c>
      <c r="K39" s="644"/>
      <c r="L39" s="1152">
        <f t="shared" si="6"/>
        <v>621130.61</v>
      </c>
      <c r="M39" s="1157">
        <f t="shared" si="2"/>
        <v>633270.84</v>
      </c>
    </row>
    <row r="40" spans="1:13" ht="19.5" customHeight="1">
      <c r="A40" s="764" t="s">
        <v>582</v>
      </c>
      <c r="B40" s="646">
        <f>4642765.82-4020703.15+2103189.28-512861.99+423686.71+7639.81+1580.36</f>
        <v>2645296.84</v>
      </c>
      <c r="C40" s="655">
        <v>3554603.63</v>
      </c>
      <c r="D40" s="655">
        <v>2399794.52</v>
      </c>
      <c r="E40" s="655"/>
      <c r="F40" s="651">
        <f t="shared" si="5"/>
        <v>3800105.9499999997</v>
      </c>
      <c r="G40" s="651">
        <v>0</v>
      </c>
      <c r="H40" s="651">
        <v>267463.89</v>
      </c>
      <c r="I40" s="644">
        <v>264800</v>
      </c>
      <c r="J40" s="644">
        <v>264800</v>
      </c>
      <c r="K40" s="644"/>
      <c r="L40" s="1152">
        <f t="shared" si="6"/>
        <v>2663.890000000014</v>
      </c>
      <c r="M40" s="1157">
        <f t="shared" si="2"/>
        <v>3802769.84</v>
      </c>
    </row>
    <row r="41" spans="1:13" ht="19.5" customHeight="1">
      <c r="A41" s="764" t="s">
        <v>583</v>
      </c>
      <c r="B41" s="646">
        <f>328436.51-324636.51+1713052.31-485400+235929.72+27502.9+10008.93</f>
        <v>1504893.8599999999</v>
      </c>
      <c r="C41" s="656">
        <v>880235.6</v>
      </c>
      <c r="D41" s="655">
        <v>519978.37</v>
      </c>
      <c r="E41" s="655"/>
      <c r="F41" s="651">
        <f t="shared" si="5"/>
        <v>1865151.0899999999</v>
      </c>
      <c r="G41" s="651">
        <v>0</v>
      </c>
      <c r="H41" s="651">
        <v>148770.68</v>
      </c>
      <c r="I41" s="644"/>
      <c r="J41" s="644"/>
      <c r="K41" s="644"/>
      <c r="L41" s="1152">
        <f t="shared" si="6"/>
        <v>148770.68</v>
      </c>
      <c r="M41" s="1157">
        <f t="shared" si="2"/>
        <v>2013921.7699999998</v>
      </c>
    </row>
    <row r="42" spans="1:13" ht="19.5" customHeight="1">
      <c r="A42" s="1033" t="s">
        <v>584</v>
      </c>
      <c r="B42" s="646">
        <f>5607384.57-5446794.23+549710.82-350551.46+133.69</f>
        <v>359883.3899999998</v>
      </c>
      <c r="C42" s="1027">
        <v>1423139.23</v>
      </c>
      <c r="D42" s="1027">
        <v>841964.69</v>
      </c>
      <c r="E42" s="1027"/>
      <c r="F42" s="1028">
        <f t="shared" si="5"/>
        <v>941057.9299999997</v>
      </c>
      <c r="G42" s="1028">
        <f>8581846.54-5607384.57</f>
        <v>2974461.969999999</v>
      </c>
      <c r="H42" s="1028">
        <v>13627979.43</v>
      </c>
      <c r="I42" s="1029">
        <v>3227274.13</v>
      </c>
      <c r="J42" s="1029">
        <v>2341105.46</v>
      </c>
      <c r="K42" s="1029">
        <v>1950642.3</v>
      </c>
      <c r="L42" s="1152">
        <f t="shared" si="6"/>
        <v>12310693.639999997</v>
      </c>
      <c r="M42" s="1157">
        <f t="shared" si="2"/>
        <v>13251751.569999997</v>
      </c>
    </row>
    <row r="43" spans="1:13" ht="19.5" customHeight="1">
      <c r="A43" s="1036"/>
      <c r="B43" s="657"/>
      <c r="C43" s="1037"/>
      <c r="D43" s="1038"/>
      <c r="E43" s="1037"/>
      <c r="F43" s="1038"/>
      <c r="G43" s="1038"/>
      <c r="H43" s="1038"/>
      <c r="I43" s="1039"/>
      <c r="J43" s="1039"/>
      <c r="K43" s="1039"/>
      <c r="L43" s="1153"/>
      <c r="M43" s="1157">
        <f t="shared" si="2"/>
        <v>0</v>
      </c>
    </row>
    <row r="44" spans="1:13" ht="19.5" customHeight="1">
      <c r="A44" s="1031" t="s">
        <v>585</v>
      </c>
      <c r="B44" s="1034">
        <f aca="true" t="shared" si="7" ref="B44:M44">B45+B52</f>
        <v>107755038.19999997</v>
      </c>
      <c r="C44" s="1025">
        <f t="shared" si="7"/>
        <v>40779813.010000005</v>
      </c>
      <c r="D44" s="1025">
        <f t="shared" si="7"/>
        <v>28021335.28</v>
      </c>
      <c r="E44" s="1025">
        <f t="shared" si="7"/>
        <v>105526</v>
      </c>
      <c r="F44" s="1026">
        <f t="shared" si="7"/>
        <v>120407989.92999996</v>
      </c>
      <c r="G44" s="1026">
        <f t="shared" si="7"/>
        <v>41766431.45999999</v>
      </c>
      <c r="H44" s="1032">
        <f t="shared" si="7"/>
        <v>46513905.82</v>
      </c>
      <c r="I44" s="1024">
        <f t="shared" si="7"/>
        <v>21478904.84</v>
      </c>
      <c r="J44" s="1024">
        <f t="shared" si="7"/>
        <v>19488614.3</v>
      </c>
      <c r="K44" s="1024">
        <f t="shared" si="7"/>
        <v>2722983.04</v>
      </c>
      <c r="L44" s="1032">
        <f t="shared" si="7"/>
        <v>66068739.940000005</v>
      </c>
      <c r="M44" s="1158">
        <f t="shared" si="7"/>
        <v>186476729.86999997</v>
      </c>
    </row>
    <row r="45" spans="1:13" ht="19.5" customHeight="1">
      <c r="A45" s="765" t="s">
        <v>586</v>
      </c>
      <c r="B45" s="1035">
        <f aca="true" t="shared" si="8" ref="B45:M45">SUM(B46:B51)</f>
        <v>13648171.69</v>
      </c>
      <c r="C45" s="659">
        <f t="shared" si="8"/>
        <v>4792908.779999999</v>
      </c>
      <c r="D45" s="658">
        <f t="shared" si="8"/>
        <v>2994718.29</v>
      </c>
      <c r="E45" s="658">
        <f t="shared" si="8"/>
        <v>0</v>
      </c>
      <c r="F45" s="653">
        <f t="shared" si="8"/>
        <v>15446362.179999998</v>
      </c>
      <c r="G45" s="653">
        <f t="shared" si="8"/>
        <v>839718.6900000001</v>
      </c>
      <c r="H45" s="732">
        <f t="shared" si="8"/>
        <v>3386658.21</v>
      </c>
      <c r="I45" s="941">
        <f t="shared" si="8"/>
        <v>716311.2</v>
      </c>
      <c r="J45" s="941">
        <f t="shared" si="8"/>
        <v>586286.5900000001</v>
      </c>
      <c r="K45" s="941">
        <f t="shared" si="8"/>
        <v>2418.28</v>
      </c>
      <c r="L45" s="732">
        <f t="shared" si="8"/>
        <v>3637672.03</v>
      </c>
      <c r="M45" s="1155">
        <f t="shared" si="8"/>
        <v>19084034.21</v>
      </c>
    </row>
    <row r="46" spans="1:13" ht="19.5" customHeight="1">
      <c r="A46" s="764" t="s">
        <v>392</v>
      </c>
      <c r="B46" s="646">
        <f>199916.2-183916.2+226452.77+179900+96927.34+70532</f>
        <v>589812.11</v>
      </c>
      <c r="C46" s="655">
        <v>424673.24</v>
      </c>
      <c r="D46" s="655">
        <v>383569.18</v>
      </c>
      <c r="E46" s="655"/>
      <c r="F46" s="651">
        <f aca="true" t="shared" si="9" ref="F46:F51">B46+C46-D46-E46</f>
        <v>630916.1699999999</v>
      </c>
      <c r="G46" s="651">
        <v>0</v>
      </c>
      <c r="H46" s="1075">
        <v>0</v>
      </c>
      <c r="I46" s="644"/>
      <c r="J46" s="644"/>
      <c r="K46" s="644"/>
      <c r="L46" s="1152">
        <f aca="true" t="shared" si="10" ref="L46:L51">G46+H46-J46-K46</f>
        <v>0</v>
      </c>
      <c r="M46" s="1157">
        <f t="shared" si="2"/>
        <v>630916.1699999999</v>
      </c>
    </row>
    <row r="47" spans="1:13" ht="19.5" customHeight="1">
      <c r="A47" s="764" t="s">
        <v>587</v>
      </c>
      <c r="B47" s="646">
        <f>1812955.34-1491648.7+834820.4+361261.28+3332.21+269210.76+518679.02</f>
        <v>2308610.31</v>
      </c>
      <c r="C47" s="655">
        <v>444772.98</v>
      </c>
      <c r="D47" s="655">
        <v>408600.05</v>
      </c>
      <c r="E47" s="655"/>
      <c r="F47" s="651">
        <f t="shared" si="9"/>
        <v>2344783.24</v>
      </c>
      <c r="G47" s="651">
        <v>0</v>
      </c>
      <c r="H47" s="1075">
        <v>0</v>
      </c>
      <c r="I47" s="644"/>
      <c r="J47" s="644"/>
      <c r="K47" s="644"/>
      <c r="L47" s="1152">
        <f t="shared" si="10"/>
        <v>0</v>
      </c>
      <c r="M47" s="1157">
        <f t="shared" si="2"/>
        <v>2344783.24</v>
      </c>
    </row>
    <row r="48" spans="1:13" ht="19.5" customHeight="1">
      <c r="A48" s="764" t="s">
        <v>393</v>
      </c>
      <c r="B48" s="651">
        <f>94578.44-50553.25</f>
        <v>44025.19</v>
      </c>
      <c r="C48" s="655">
        <v>86993.09</v>
      </c>
      <c r="D48" s="655">
        <v>81446.09</v>
      </c>
      <c r="E48" s="655"/>
      <c r="F48" s="651">
        <f t="shared" si="9"/>
        <v>49572.19</v>
      </c>
      <c r="G48" s="651">
        <f>94578.79-94578.44</f>
        <v>0.34999999999126885</v>
      </c>
      <c r="H48" s="651">
        <v>922665.87</v>
      </c>
      <c r="I48" s="644">
        <v>245402.28</v>
      </c>
      <c r="J48" s="644">
        <v>245402.28</v>
      </c>
      <c r="K48" s="644"/>
      <c r="L48" s="1152">
        <f t="shared" si="10"/>
        <v>677263.94</v>
      </c>
      <c r="M48" s="1157">
        <f t="shared" si="2"/>
        <v>726836.1299999999</v>
      </c>
    </row>
    <row r="49" spans="1:13" ht="19.5" customHeight="1">
      <c r="A49" s="764" t="s">
        <v>588</v>
      </c>
      <c r="B49" s="646">
        <f>673928.38-101926.38+106163.64+704.23+298.98</f>
        <v>679168.85</v>
      </c>
      <c r="C49" s="655">
        <v>195980.78</v>
      </c>
      <c r="D49" s="655">
        <v>207140.86</v>
      </c>
      <c r="E49" s="655"/>
      <c r="F49" s="651">
        <f t="shared" si="9"/>
        <v>668008.77</v>
      </c>
      <c r="G49" s="651">
        <f>727896.38-673928.38</f>
        <v>53968</v>
      </c>
      <c r="H49" s="651">
        <v>116429.94</v>
      </c>
      <c r="I49" s="644">
        <v>6615.36</v>
      </c>
      <c r="J49" s="644">
        <v>1215.36</v>
      </c>
      <c r="K49" s="644">
        <v>2418.28</v>
      </c>
      <c r="L49" s="1152">
        <f t="shared" si="10"/>
        <v>166764.30000000002</v>
      </c>
      <c r="M49" s="1157">
        <f t="shared" si="2"/>
        <v>834773.0700000001</v>
      </c>
    </row>
    <row r="50" spans="1:13" ht="19.5" customHeight="1">
      <c r="A50" s="764" t="s">
        <v>589</v>
      </c>
      <c r="B50" s="646">
        <f>5398941.76-4299398.47+5567669.06-137500+1698222.18-100212.67+403131.37+33330+1123515.38</f>
        <v>9687698.61</v>
      </c>
      <c r="C50" s="655">
        <v>3640488.69</v>
      </c>
      <c r="D50" s="655">
        <v>1707949.66</v>
      </c>
      <c r="E50" s="655"/>
      <c r="F50" s="651">
        <f t="shared" si="9"/>
        <v>11620237.639999999</v>
      </c>
      <c r="G50" s="651">
        <v>0</v>
      </c>
      <c r="H50" s="651">
        <v>519828.43</v>
      </c>
      <c r="I50" s="644">
        <v>157424.61</v>
      </c>
      <c r="J50" s="644">
        <v>32800</v>
      </c>
      <c r="K50" s="655"/>
      <c r="L50" s="1152">
        <f t="shared" si="10"/>
        <v>487028.43</v>
      </c>
      <c r="M50" s="1157">
        <f t="shared" si="2"/>
        <v>12107266.069999998</v>
      </c>
    </row>
    <row r="51" spans="1:13" ht="19.5" customHeight="1">
      <c r="A51" s="764" t="s">
        <v>520</v>
      </c>
      <c r="B51" s="646">
        <f>370940.24-164927.79+113240.9-2361.1+26775.81-4811.44</f>
        <v>338856.62</v>
      </c>
      <c r="C51" s="655">
        <v>0</v>
      </c>
      <c r="D51" s="655">
        <v>206012.45</v>
      </c>
      <c r="E51" s="655"/>
      <c r="F51" s="651">
        <f t="shared" si="9"/>
        <v>132844.16999999998</v>
      </c>
      <c r="G51" s="651">
        <f>1156690.58-370940.24</f>
        <v>785750.3400000001</v>
      </c>
      <c r="H51" s="651">
        <v>1827733.97</v>
      </c>
      <c r="I51" s="644">
        <v>306868.95</v>
      </c>
      <c r="J51" s="644">
        <v>306868.95</v>
      </c>
      <c r="K51" s="644"/>
      <c r="L51" s="1152">
        <f t="shared" si="10"/>
        <v>2306615.36</v>
      </c>
      <c r="M51" s="1157">
        <f t="shared" si="2"/>
        <v>2439459.53</v>
      </c>
    </row>
    <row r="52" spans="1:13" ht="19.5" customHeight="1">
      <c r="A52" s="766" t="s">
        <v>590</v>
      </c>
      <c r="B52" s="649">
        <f aca="true" t="shared" si="11" ref="B52:J52">SUM(B53:B58)</f>
        <v>94106866.50999998</v>
      </c>
      <c r="C52" s="649">
        <f t="shared" si="11"/>
        <v>35986904.230000004</v>
      </c>
      <c r="D52" s="649">
        <f t="shared" si="11"/>
        <v>25026616.990000002</v>
      </c>
      <c r="E52" s="649">
        <f t="shared" si="11"/>
        <v>105526</v>
      </c>
      <c r="F52" s="649">
        <f t="shared" si="11"/>
        <v>104961627.74999997</v>
      </c>
      <c r="G52" s="649">
        <f t="shared" si="11"/>
        <v>40926712.769999996</v>
      </c>
      <c r="H52" s="649">
        <f t="shared" si="11"/>
        <v>43127247.61</v>
      </c>
      <c r="I52" s="649">
        <f t="shared" si="11"/>
        <v>20762593.64</v>
      </c>
      <c r="J52" s="649">
        <f t="shared" si="11"/>
        <v>18902327.71</v>
      </c>
      <c r="K52" s="649">
        <f>SUM(K53:K58)</f>
        <v>2720564.7600000002</v>
      </c>
      <c r="L52" s="1151">
        <f>SUM(L53:L58)</f>
        <v>62431067.910000004</v>
      </c>
      <c r="M52" s="1156">
        <f>SUM(M53:M58)</f>
        <v>167392695.65999997</v>
      </c>
    </row>
    <row r="53" spans="1:15" ht="19.5" customHeight="1">
      <c r="A53" s="764" t="s">
        <v>591</v>
      </c>
      <c r="B53" s="660">
        <f>44155140.22+234722.68-28906743.05-234722.68+36865862.21+444348.37-4178605.8+13149101+255222-139674.83+5996218.06+0.96-288715.28+1275689.85+681174.53</f>
        <v>69309018.23999998</v>
      </c>
      <c r="C53" s="655">
        <v>18766702.85</v>
      </c>
      <c r="D53" s="655">
        <v>10212077.07</v>
      </c>
      <c r="E53" s="655">
        <v>3770</v>
      </c>
      <c r="F53" s="651">
        <f aca="true" t="shared" si="12" ref="F53:F58">B53+C53-D53-E53</f>
        <v>77859874.01999998</v>
      </c>
      <c r="G53" s="651">
        <f>61719222.93+1252804.41-44155140.22-234722.68+43015577.88+1052934.38-36865862.21-444348.37+17320769.21+870344.08-13149101-255222+10906835.96+336230.63-5996218.06-0.96+3240047.25-1275689.85</f>
        <v>37338461.379999995</v>
      </c>
      <c r="H53" s="651">
        <v>28874069.91</v>
      </c>
      <c r="I53" s="644">
        <v>14348186.53</v>
      </c>
      <c r="J53" s="644">
        <v>13611324.19</v>
      </c>
      <c r="K53" s="644">
        <v>2158353.62</v>
      </c>
      <c r="L53" s="1152">
        <f aca="true" t="shared" si="13" ref="L53:L60">G53+H53-J53-K53</f>
        <v>50442853.48</v>
      </c>
      <c r="M53" s="1157">
        <f t="shared" si="2"/>
        <v>128302727.49999997</v>
      </c>
      <c r="N53" s="809"/>
      <c r="O53" s="809"/>
    </row>
    <row r="54" spans="1:13" ht="19.5" customHeight="1">
      <c r="A54" s="764" t="s">
        <v>592</v>
      </c>
      <c r="B54" s="646">
        <f>7028054.62-6766220.97+14901920.29-937278.58+1609285.39+67967.51+2263.19+22748.59</f>
        <v>15928740.04</v>
      </c>
      <c r="C54" s="655">
        <v>6103931.89</v>
      </c>
      <c r="D54" s="655">
        <v>4975342.14</v>
      </c>
      <c r="E54" s="655"/>
      <c r="F54" s="651">
        <f t="shared" si="12"/>
        <v>17057329.79</v>
      </c>
      <c r="G54" s="651"/>
      <c r="H54" s="651">
        <v>11882276.55</v>
      </c>
      <c r="I54" s="644">
        <v>5503464.56</v>
      </c>
      <c r="J54" s="644">
        <v>4533772.47</v>
      </c>
      <c r="K54" s="644">
        <v>2168.6</v>
      </c>
      <c r="L54" s="1152">
        <f t="shared" si="13"/>
        <v>7346335.480000001</v>
      </c>
      <c r="M54" s="1157">
        <f t="shared" si="2"/>
        <v>24403665.27</v>
      </c>
    </row>
    <row r="55" spans="1:13" ht="19.5" customHeight="1">
      <c r="A55" s="764" t="s">
        <v>394</v>
      </c>
      <c r="B55" s="646">
        <f>2836846.22-1823976.55+1447206.29+1065559.92-48864+752492.04+340872.62+445263.42</f>
        <v>5015399.96</v>
      </c>
      <c r="C55" s="656">
        <v>1619783.55</v>
      </c>
      <c r="D55" s="655">
        <v>773298.02</v>
      </c>
      <c r="E55" s="655">
        <v>101756</v>
      </c>
      <c r="F55" s="651">
        <f t="shared" si="12"/>
        <v>5760129.49</v>
      </c>
      <c r="G55" s="651"/>
      <c r="H55" s="651">
        <v>1941520.3</v>
      </c>
      <c r="I55" s="644">
        <v>910942.55</v>
      </c>
      <c r="J55" s="644">
        <v>757231.05</v>
      </c>
      <c r="K55" s="644">
        <v>560042.54</v>
      </c>
      <c r="L55" s="1152">
        <f t="shared" si="13"/>
        <v>624246.71</v>
      </c>
      <c r="M55" s="1157">
        <f t="shared" si="2"/>
        <v>6384376.2</v>
      </c>
    </row>
    <row r="56" spans="1:13" ht="19.5" customHeight="1">
      <c r="A56" s="764" t="s">
        <v>593</v>
      </c>
      <c r="B56" s="646">
        <f>72402.79-27046.79+522432.03+404557.09+4708+2274+9913.3</f>
        <v>989240.4200000002</v>
      </c>
      <c r="C56" s="656">
        <v>240586</v>
      </c>
      <c r="D56" s="655">
        <v>240000</v>
      </c>
      <c r="E56" s="655"/>
      <c r="F56" s="651">
        <f t="shared" si="12"/>
        <v>989826.4200000002</v>
      </c>
      <c r="G56" s="651"/>
      <c r="H56" s="651">
        <v>422110.6</v>
      </c>
      <c r="I56" s="644"/>
      <c r="J56" s="644"/>
      <c r="K56" s="644"/>
      <c r="L56" s="1152">
        <f t="shared" si="13"/>
        <v>422110.6</v>
      </c>
      <c r="M56" s="1157">
        <f t="shared" si="2"/>
        <v>1411937.02</v>
      </c>
    </row>
    <row r="57" spans="1:13" ht="19.5" customHeight="1">
      <c r="A57" s="764" t="s">
        <v>826</v>
      </c>
      <c r="B57" s="646">
        <v>11784.98</v>
      </c>
      <c r="C57" s="656">
        <v>1018.12</v>
      </c>
      <c r="D57" s="655"/>
      <c r="E57" s="655"/>
      <c r="F57" s="651">
        <f t="shared" si="12"/>
        <v>12803.1</v>
      </c>
      <c r="G57" s="651"/>
      <c r="H57" s="651">
        <v>7270.25</v>
      </c>
      <c r="I57" s="644"/>
      <c r="J57" s="644"/>
      <c r="K57" s="644"/>
      <c r="L57" s="1152">
        <f t="shared" si="13"/>
        <v>7270.25</v>
      </c>
      <c r="M57" s="1157">
        <f t="shared" si="2"/>
        <v>20073.35</v>
      </c>
    </row>
    <row r="58" spans="1:13" ht="19.5" customHeight="1">
      <c r="A58" s="1030" t="s">
        <v>395</v>
      </c>
      <c r="B58" s="646">
        <f>2582722.99+123360+140882.38+5717.5</f>
        <v>2852682.87</v>
      </c>
      <c r="C58" s="1027">
        <v>9254881.82</v>
      </c>
      <c r="D58" s="1027">
        <v>8825899.76</v>
      </c>
      <c r="E58" s="1027"/>
      <c r="F58" s="1028">
        <f t="shared" si="12"/>
        <v>3281664.9300000016</v>
      </c>
      <c r="G58" s="1028">
        <f>6485627.79-5379546.76+3389413.82-2582722.99+1345323.48-123360+40871.18+553527.25-140882.38</f>
        <v>3588251.3899999997</v>
      </c>
      <c r="H58" s="1028"/>
      <c r="I58" s="1029"/>
      <c r="J58" s="1029"/>
      <c r="K58" s="1029"/>
      <c r="L58" s="1152">
        <f t="shared" si="13"/>
        <v>3588251.3899999997</v>
      </c>
      <c r="M58" s="1157">
        <f t="shared" si="2"/>
        <v>6869916.320000001</v>
      </c>
    </row>
    <row r="59" spans="1:13" ht="12.75" customHeight="1">
      <c r="A59" s="1040"/>
      <c r="B59" s="1040"/>
      <c r="C59" s="1041"/>
      <c r="D59" s="1037"/>
      <c r="E59" s="1037"/>
      <c r="F59" s="1042"/>
      <c r="G59" s="1042"/>
      <c r="H59" s="1040"/>
      <c r="I59" s="1039"/>
      <c r="J59" s="1039"/>
      <c r="K59" s="1043"/>
      <c r="L59" s="1153"/>
      <c r="M59" s="1157">
        <f t="shared" si="2"/>
        <v>0</v>
      </c>
    </row>
    <row r="60" spans="1:13" ht="19.5" customHeight="1">
      <c r="A60" s="1023" t="s">
        <v>396</v>
      </c>
      <c r="B60" s="1024">
        <f aca="true" t="shared" si="14" ref="B60:H60">B11</f>
        <v>363002240.64</v>
      </c>
      <c r="C60" s="1024">
        <f t="shared" si="14"/>
        <v>166027180.26</v>
      </c>
      <c r="D60" s="1025">
        <f t="shared" si="14"/>
        <v>108836664.73999998</v>
      </c>
      <c r="E60" s="1026">
        <f t="shared" si="14"/>
        <v>133025.7</v>
      </c>
      <c r="F60" s="1026">
        <f>B60+C60-D60-E60</f>
        <v>420059730.46</v>
      </c>
      <c r="G60" s="1026">
        <f t="shared" si="14"/>
        <v>91982761.89</v>
      </c>
      <c r="H60" s="1026">
        <f t="shared" si="14"/>
        <v>145783179.92000002</v>
      </c>
      <c r="I60" s="1026">
        <f>I12+I14</f>
        <v>57777646.39</v>
      </c>
      <c r="J60" s="1026">
        <f>J12+J14</f>
        <v>46584450.93000001</v>
      </c>
      <c r="K60" s="1026">
        <f>K12+K14</f>
        <v>12037205.32</v>
      </c>
      <c r="L60" s="1148">
        <f t="shared" si="13"/>
        <v>179144285.56</v>
      </c>
      <c r="M60" s="1158">
        <f>M11</f>
        <v>599204016.0199999</v>
      </c>
    </row>
    <row r="61" spans="1:12" ht="19.5" customHeight="1">
      <c r="A61" s="665" t="str">
        <f>'[13]Anexo VII _ RES PRIM'!A68</f>
        <v>FONTE: SECRETARIA MUNICIPAL DA FAZENDA</v>
      </c>
      <c r="B61" s="666"/>
      <c r="C61" s="971"/>
      <c r="D61" s="641"/>
      <c r="E61" s="972"/>
      <c r="F61" s="641"/>
      <c r="G61" s="942"/>
      <c r="H61" s="664"/>
      <c r="I61" s="664"/>
      <c r="J61" s="664"/>
      <c r="K61" s="973"/>
      <c r="L61" s="943"/>
    </row>
    <row r="62" spans="1:13" ht="19.5" customHeight="1">
      <c r="A62" s="944" t="str">
        <f>'Anexo 5 _ RES NOM'!A45</f>
        <v>  São Luís, 30 de Julho de 2015</v>
      </c>
      <c r="B62" s="666"/>
      <c r="C62" s="666"/>
      <c r="D62" s="667"/>
      <c r="E62" s="970"/>
      <c r="F62" s="668"/>
      <c r="G62" s="942"/>
      <c r="H62" s="767"/>
      <c r="I62" s="669"/>
      <c r="J62" s="687"/>
      <c r="K62" s="974"/>
      <c r="L62" s="945"/>
      <c r="M62" s="1385"/>
    </row>
    <row r="63" spans="1:12" ht="19.5" customHeight="1">
      <c r="A63" s="670"/>
      <c r="B63" s="672"/>
      <c r="C63" s="638"/>
      <c r="D63" s="661"/>
      <c r="E63" s="661"/>
      <c r="F63" s="661"/>
      <c r="G63" s="946"/>
      <c r="H63" s="671"/>
      <c r="I63" s="661"/>
      <c r="J63" s="661"/>
      <c r="K63" s="661"/>
      <c r="L63" s="947"/>
    </row>
    <row r="64" spans="1:12" ht="19.5" customHeight="1">
      <c r="A64" s="662"/>
      <c r="B64" s="638"/>
      <c r="C64" s="638"/>
      <c r="D64" s="638"/>
      <c r="E64" s="638"/>
      <c r="F64" s="638"/>
      <c r="G64" s="638"/>
      <c r="H64" s="638"/>
      <c r="I64" s="638"/>
      <c r="J64" s="638"/>
      <c r="K64" s="638"/>
      <c r="L64" s="672"/>
    </row>
    <row r="65" spans="1:12" ht="19.5" customHeight="1">
      <c r="A65" s="662"/>
      <c r="B65" s="638"/>
      <c r="C65" s="638"/>
      <c r="D65" s="638"/>
      <c r="E65" s="638"/>
      <c r="F65" s="638"/>
      <c r="G65" s="638"/>
      <c r="H65" s="638"/>
      <c r="I65" s="638"/>
      <c r="J65" s="638"/>
      <c r="K65" s="638"/>
      <c r="L65" s="948"/>
    </row>
    <row r="66" spans="1:12" ht="19.5" customHeight="1">
      <c r="A66" s="662"/>
      <c r="B66" s="673"/>
      <c r="C66" s="638"/>
      <c r="D66" s="663"/>
      <c r="E66" s="663"/>
      <c r="F66" s="672"/>
      <c r="G66" s="672"/>
      <c r="H66" s="672"/>
      <c r="I66" s="672"/>
      <c r="J66" s="663"/>
      <c r="K66" s="672"/>
      <c r="L66" s="628"/>
    </row>
    <row r="67" spans="1:12" ht="19.5" customHeight="1">
      <c r="A67" s="1757" t="s">
        <v>834</v>
      </c>
      <c r="B67" s="1757"/>
      <c r="C67" s="1757"/>
      <c r="D67" s="821"/>
      <c r="E67" s="663"/>
      <c r="F67" s="1744" t="s">
        <v>830</v>
      </c>
      <c r="G67" s="1744"/>
      <c r="H67" s="1744"/>
      <c r="I67" s="663"/>
      <c r="J67" s="661"/>
      <c r="K67" s="672"/>
      <c r="L67" s="628"/>
    </row>
    <row r="68" spans="1:12" ht="13.5" customHeight="1">
      <c r="A68" s="1745" t="s">
        <v>829</v>
      </c>
      <c r="B68" s="1745"/>
      <c r="C68" s="1745"/>
      <c r="D68" s="822"/>
      <c r="E68" s="663"/>
      <c r="F68" s="1745" t="s">
        <v>831</v>
      </c>
      <c r="G68" s="1745"/>
      <c r="H68" s="1745"/>
      <c r="I68" s="663"/>
      <c r="J68" s="663"/>
      <c r="K68" s="663"/>
      <c r="L68" s="628"/>
    </row>
    <row r="69" spans="1:12" ht="19.5" customHeight="1">
      <c r="A69" s="662"/>
      <c r="B69" s="663"/>
      <c r="C69" s="638"/>
      <c r="D69" s="663"/>
      <c r="E69" s="663"/>
      <c r="F69" s="663"/>
      <c r="G69" s="663"/>
      <c r="H69" s="663"/>
      <c r="I69" s="663"/>
      <c r="J69" s="663"/>
      <c r="K69" s="663"/>
      <c r="L69" s="628"/>
    </row>
    <row r="70" spans="1:12" ht="19.5" customHeight="1">
      <c r="A70" s="662"/>
      <c r="B70" s="663"/>
      <c r="C70" s="638"/>
      <c r="D70" s="663"/>
      <c r="E70" s="663"/>
      <c r="F70" s="663"/>
      <c r="G70" s="663"/>
      <c r="H70" s="663"/>
      <c r="I70" s="663"/>
      <c r="J70" s="663"/>
      <c r="K70" s="663"/>
      <c r="L70" s="628"/>
    </row>
    <row r="71" spans="1:12" ht="19.5" customHeight="1">
      <c r="A71" s="662"/>
      <c r="B71" s="663"/>
      <c r="C71" s="638"/>
      <c r="D71" s="663"/>
      <c r="E71" s="663"/>
      <c r="F71" s="663"/>
      <c r="G71" s="663"/>
      <c r="H71" s="663"/>
      <c r="I71" s="663"/>
      <c r="J71" s="663"/>
      <c r="K71" s="663"/>
      <c r="L71" s="628"/>
    </row>
    <row r="72" spans="1:12" ht="19.5" customHeight="1">
      <c r="A72" s="662"/>
      <c r="B72" s="1742" t="s">
        <v>832</v>
      </c>
      <c r="C72" s="1742"/>
      <c r="D72" s="1742"/>
      <c r="E72" s="1742"/>
      <c r="F72" s="663"/>
      <c r="G72" s="663"/>
      <c r="H72" s="663"/>
      <c r="I72" s="663"/>
      <c r="J72" s="663"/>
      <c r="K72" s="663"/>
      <c r="L72" s="628"/>
    </row>
    <row r="73" spans="2:5" ht="12" customHeight="1">
      <c r="B73" s="1743" t="s">
        <v>833</v>
      </c>
      <c r="C73" s="1743"/>
      <c r="D73" s="1743"/>
      <c r="E73" s="1743"/>
    </row>
    <row r="76" ht="12.75">
      <c r="F76" s="1048"/>
    </row>
    <row r="80" ht="12.75">
      <c r="I80" s="1048"/>
    </row>
  </sheetData>
  <sheetProtection/>
  <mergeCells count="23">
    <mergeCell ref="A1:E1"/>
    <mergeCell ref="F1:K1"/>
    <mergeCell ref="A2:K2"/>
    <mergeCell ref="A5:F5"/>
    <mergeCell ref="A8:A10"/>
    <mergeCell ref="B8:F8"/>
    <mergeCell ref="G8:L8"/>
    <mergeCell ref="M8:M10"/>
    <mergeCell ref="A67:C67"/>
    <mergeCell ref="A68:C68"/>
    <mergeCell ref="I9:I10"/>
    <mergeCell ref="J9:J10"/>
    <mergeCell ref="K9:K10"/>
    <mergeCell ref="B72:E72"/>
    <mergeCell ref="B73:E73"/>
    <mergeCell ref="F67:H67"/>
    <mergeCell ref="F68:H68"/>
    <mergeCell ref="L9:L10"/>
    <mergeCell ref="F9:F10"/>
    <mergeCell ref="G9:H9"/>
    <mergeCell ref="B9:C9"/>
    <mergeCell ref="D9:D10"/>
    <mergeCell ref="E9:E10"/>
  </mergeCells>
  <printOptions/>
  <pageMargins left="0.2362204724409449" right="0.15748031496062992" top="0.5511811023622047" bottom="0.4330708661417323" header="0.31496062992125984" footer="0.31496062992125984"/>
  <pageSetup horizontalDpi="600" verticalDpi="600" orientation="portrait" paperSize="9" scale="52" r:id="rId2"/>
  <ignoredErrors>
    <ignoredError sqref="F11:F12 L52:M52 F60 F52 L11:L12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K210"/>
  <sheetViews>
    <sheetView showGridLines="0" zoomScaleSheetLayoutView="100" zoomScalePageLayoutView="0" workbookViewId="0" topLeftCell="B178">
      <selection activeCell="E191" sqref="E191:I191"/>
    </sheetView>
  </sheetViews>
  <sheetFormatPr defaultColWidth="9.140625" defaultRowHeight="12.75"/>
  <cols>
    <col min="1" max="1" width="72.8515625" style="160" customWidth="1"/>
    <col min="2" max="2" width="14.28125" style="287" customWidth="1"/>
    <col min="3" max="3" width="20.140625" style="287" bestFit="1" customWidth="1"/>
    <col min="4" max="4" width="14.57421875" style="287" customWidth="1"/>
    <col min="5" max="5" width="8.57421875" style="287" customWidth="1"/>
    <col min="6" max="6" width="13.28125" style="287" customWidth="1"/>
    <col min="7" max="7" width="11.140625" style="287" customWidth="1"/>
    <col min="8" max="8" width="16.28125" style="287" customWidth="1"/>
    <col min="9" max="9" width="8.00390625" style="287" customWidth="1"/>
    <col min="10" max="10" width="9.140625" style="287" customWidth="1"/>
    <col min="11" max="11" width="17.28125" style="287" customWidth="1"/>
    <col min="12" max="16384" width="9.140625" style="287" customWidth="1"/>
  </cols>
  <sheetData>
    <row r="1" spans="1:9" s="120" customFormat="1" ht="12.75">
      <c r="A1" s="1492" t="s">
        <v>182</v>
      </c>
      <c r="B1" s="1492"/>
      <c r="C1" s="1492"/>
      <c r="D1" s="1492"/>
      <c r="E1" s="1492"/>
      <c r="F1" s="1492"/>
      <c r="G1" s="1492"/>
      <c r="H1" s="483"/>
      <c r="I1" s="1072"/>
    </row>
    <row r="2" spans="1:9" s="120" customFormat="1" ht="12.75">
      <c r="A2" s="1492" t="s">
        <v>0</v>
      </c>
      <c r="B2" s="1492"/>
      <c r="C2" s="1492"/>
      <c r="D2" s="1492"/>
      <c r="E2" s="1492"/>
      <c r="F2" s="1492"/>
      <c r="G2" s="1492"/>
      <c r="H2" s="483"/>
      <c r="I2" s="1072"/>
    </row>
    <row r="3" spans="1:9" s="120" customFormat="1" ht="12.75">
      <c r="A3" s="482" t="s">
        <v>397</v>
      </c>
      <c r="B3" s="485"/>
      <c r="C3" s="485"/>
      <c r="D3" s="174"/>
      <c r="E3" s="596"/>
      <c r="F3" s="596" t="str">
        <f>'Anexo 7 _  RP'!I6</f>
        <v>Publicação: Diário Oficial do Município nº 140</v>
      </c>
      <c r="G3" s="485"/>
      <c r="H3" s="482"/>
      <c r="I3" s="1072"/>
    </row>
    <row r="4" spans="1:9" s="120" customFormat="1" ht="12.75">
      <c r="A4" s="483" t="s">
        <v>2</v>
      </c>
      <c r="B4" s="486"/>
      <c r="C4" s="486"/>
      <c r="D4" s="596"/>
      <c r="E4" s="596"/>
      <c r="F4" s="596" t="str">
        <f>'Anexo 7 _  RP'!I7</f>
        <v>Data:30/07/2015</v>
      </c>
      <c r="G4" s="486"/>
      <c r="H4" s="483"/>
      <c r="I4" s="1072"/>
    </row>
    <row r="5" spans="1:9" s="472" customFormat="1" ht="14.25" customHeight="1">
      <c r="A5" s="1783" t="str">
        <f>'Anexo 1 _ BAL ORC'!A4</f>
        <v>Referência: JANEIRO-JUNHO/2015; BIMESTRE: MAIO-JUNHO/2015</v>
      </c>
      <c r="B5" s="1783"/>
      <c r="C5" s="486"/>
      <c r="D5" s="486"/>
      <c r="E5" s="486"/>
      <c r="F5" s="486"/>
      <c r="G5" s="486"/>
      <c r="H5" s="483"/>
      <c r="I5" s="1226"/>
    </row>
    <row r="6" spans="1:9" s="112" customFormat="1" ht="8.25" customHeight="1">
      <c r="A6" s="1820"/>
      <c r="B6" s="1820"/>
      <c r="C6" s="1820"/>
      <c r="D6" s="1820"/>
      <c r="E6" s="1820"/>
      <c r="F6" s="1820"/>
      <c r="G6" s="1820"/>
      <c r="H6" s="1181"/>
      <c r="I6" s="1227"/>
    </row>
    <row r="7" spans="1:9" ht="14.25" customHeight="1">
      <c r="A7" s="467" t="s">
        <v>655</v>
      </c>
      <c r="B7" s="1228"/>
      <c r="C7" s="1228"/>
      <c r="D7" s="318"/>
      <c r="E7" s="1228"/>
      <c r="F7" s="1228"/>
      <c r="G7" s="1229"/>
      <c r="H7" s="1230" t="s">
        <v>535</v>
      </c>
      <c r="I7" s="1231" t="s">
        <v>535</v>
      </c>
    </row>
    <row r="8" spans="1:9" ht="14.25" customHeight="1">
      <c r="A8" s="1812" t="s">
        <v>398</v>
      </c>
      <c r="B8" s="1813" t="s">
        <v>399</v>
      </c>
      <c r="C8" s="1814" t="s">
        <v>316</v>
      </c>
      <c r="D8" s="1818" t="s">
        <v>216</v>
      </c>
      <c r="E8" s="1819"/>
      <c r="F8" s="1819"/>
      <c r="G8" s="1797"/>
      <c r="H8" s="1797"/>
      <c r="I8" s="1798"/>
    </row>
    <row r="9" spans="1:9" ht="12.75" customHeight="1">
      <c r="A9" s="1812"/>
      <c r="B9" s="1821"/>
      <c r="C9" s="1814"/>
      <c r="D9" s="1822" t="s">
        <v>103</v>
      </c>
      <c r="E9" s="1823"/>
      <c r="F9" s="1823"/>
      <c r="G9" s="1796" t="s">
        <v>99</v>
      </c>
      <c r="H9" s="1797"/>
      <c r="I9" s="1798"/>
    </row>
    <row r="10" spans="1:9" ht="11.25" customHeight="1">
      <c r="A10" s="1812"/>
      <c r="B10" s="1613"/>
      <c r="C10" s="561" t="s">
        <v>105</v>
      </c>
      <c r="D10" s="1824" t="s">
        <v>106</v>
      </c>
      <c r="E10" s="1825"/>
      <c r="F10" s="1825"/>
      <c r="G10" s="1826" t="s">
        <v>870</v>
      </c>
      <c r="H10" s="1827"/>
      <c r="I10" s="1828"/>
    </row>
    <row r="11" spans="1:9" ht="15" customHeight="1">
      <c r="A11" s="370" t="s">
        <v>526</v>
      </c>
      <c r="B11" s="559">
        <f>B12</f>
        <v>675088358</v>
      </c>
      <c r="C11" s="559">
        <f>C12</f>
        <v>675088358</v>
      </c>
      <c r="D11" s="1793">
        <f>D12</f>
        <v>305893903.63</v>
      </c>
      <c r="E11" s="1794"/>
      <c r="F11" s="1795"/>
      <c r="G11" s="1790">
        <f>(D11/C11)*100</f>
        <v>45.31168401959022</v>
      </c>
      <c r="H11" s="1791"/>
      <c r="I11" s="1792"/>
    </row>
    <row r="12" spans="1:9" ht="18.75" customHeight="1">
      <c r="A12" s="301" t="s">
        <v>525</v>
      </c>
      <c r="B12" s="559">
        <f>B13+B19+B25+B31+B37</f>
        <v>675088358</v>
      </c>
      <c r="C12" s="559">
        <f>C13+C19+C25+C31+C37</f>
        <v>675088358</v>
      </c>
      <c r="D12" s="1793">
        <f>D13+D19+D25+D31</f>
        <v>305893903.63</v>
      </c>
      <c r="E12" s="1794"/>
      <c r="F12" s="1795"/>
      <c r="G12" s="1790">
        <f aca="true" t="shared" si="0" ref="G12:G53">(D12/C12)*100</f>
        <v>45.31168401959022</v>
      </c>
      <c r="H12" s="1791"/>
      <c r="I12" s="1792"/>
    </row>
    <row r="13" spans="1:9" s="588" customFormat="1" ht="17.25" customHeight="1">
      <c r="A13" s="487" t="s">
        <v>400</v>
      </c>
      <c r="B13" s="559">
        <f>B14+B15+B16+B17-B18</f>
        <v>66589269</v>
      </c>
      <c r="C13" s="559">
        <f>C14+C15+C16+C17-C18</f>
        <v>66589269</v>
      </c>
      <c r="D13" s="1793">
        <f>D14+D15+D16+D17-D18</f>
        <v>43725925.6</v>
      </c>
      <c r="E13" s="1794"/>
      <c r="F13" s="1795"/>
      <c r="G13" s="1790">
        <f t="shared" si="0"/>
        <v>65.66512330988347</v>
      </c>
      <c r="H13" s="1791"/>
      <c r="I13" s="1792"/>
    </row>
    <row r="14" spans="1:9" s="372" customFormat="1" ht="18" customHeight="1">
      <c r="A14" s="302" t="s">
        <v>661</v>
      </c>
      <c r="B14" s="554">
        <v>51278597</v>
      </c>
      <c r="C14" s="558">
        <f>B14</f>
        <v>51278597</v>
      </c>
      <c r="D14" s="1767">
        <v>35880661.4</v>
      </c>
      <c r="E14" s="1768"/>
      <c r="F14" s="1769"/>
      <c r="G14" s="1790">
        <f t="shared" si="0"/>
        <v>69.97200293915998</v>
      </c>
      <c r="H14" s="1791"/>
      <c r="I14" s="1792"/>
    </row>
    <row r="15" spans="1:9" s="372" customFormat="1" ht="15" customHeight="1">
      <c r="A15" s="302" t="s">
        <v>656</v>
      </c>
      <c r="B15" s="558">
        <v>660661</v>
      </c>
      <c r="C15" s="558">
        <f>B15</f>
        <v>660661</v>
      </c>
      <c r="D15" s="1767">
        <v>113032.1</v>
      </c>
      <c r="E15" s="1768"/>
      <c r="F15" s="1769"/>
      <c r="G15" s="1790">
        <f t="shared" si="0"/>
        <v>17.108940894043997</v>
      </c>
      <c r="H15" s="1791"/>
      <c r="I15" s="1792"/>
    </row>
    <row r="16" spans="1:9" s="372" customFormat="1" ht="15" customHeight="1">
      <c r="A16" s="302" t="s">
        <v>662</v>
      </c>
      <c r="B16" s="558">
        <v>11562881</v>
      </c>
      <c r="C16" s="558">
        <f>B16</f>
        <v>11562881</v>
      </c>
      <c r="D16" s="1767">
        <v>6023991.24</v>
      </c>
      <c r="E16" s="1768"/>
      <c r="F16" s="1769"/>
      <c r="G16" s="1790">
        <f t="shared" si="0"/>
        <v>52.09766700876711</v>
      </c>
      <c r="H16" s="1791"/>
      <c r="I16" s="1792"/>
    </row>
    <row r="17" spans="1:9" s="372" customFormat="1" ht="15" customHeight="1">
      <c r="A17" s="302" t="s">
        <v>663</v>
      </c>
      <c r="B17" s="558">
        <v>3087130</v>
      </c>
      <c r="C17" s="558">
        <f>B17</f>
        <v>3087130</v>
      </c>
      <c r="D17" s="1767">
        <v>1732440.29</v>
      </c>
      <c r="E17" s="1768"/>
      <c r="F17" s="1769"/>
      <c r="G17" s="1790">
        <f t="shared" si="0"/>
        <v>56.11815148697982</v>
      </c>
      <c r="H17" s="1791"/>
      <c r="I17" s="1792"/>
    </row>
    <row r="18" spans="1:9" s="372" customFormat="1" ht="15" customHeight="1">
      <c r="A18" s="302" t="s">
        <v>664</v>
      </c>
      <c r="B18" s="558"/>
      <c r="C18" s="558"/>
      <c r="D18" s="1767">
        <v>24199.43</v>
      </c>
      <c r="E18" s="1768"/>
      <c r="F18" s="1769"/>
      <c r="G18" s="1790"/>
      <c r="H18" s="1791"/>
      <c r="I18" s="1792"/>
    </row>
    <row r="19" spans="1:9" s="588" customFormat="1" ht="15" customHeight="1">
      <c r="A19" s="487" t="s">
        <v>401</v>
      </c>
      <c r="B19" s="559">
        <f>B20+B21+B22+B23-B24</f>
        <v>30629116</v>
      </c>
      <c r="C19" s="559">
        <f>C20+C21+C22+C23-C24</f>
        <v>30629116</v>
      </c>
      <c r="D19" s="1793">
        <f>D20+D21+D22+D23-D24</f>
        <v>14622339.45</v>
      </c>
      <c r="E19" s="1794"/>
      <c r="F19" s="1795"/>
      <c r="G19" s="1790">
        <f t="shared" si="0"/>
        <v>47.739998274844105</v>
      </c>
      <c r="H19" s="1791"/>
      <c r="I19" s="1792"/>
    </row>
    <row r="20" spans="1:9" s="372" customFormat="1" ht="15" customHeight="1">
      <c r="A20" s="302" t="s">
        <v>657</v>
      </c>
      <c r="B20" s="558">
        <v>30629116</v>
      </c>
      <c r="C20" s="558">
        <f>B20</f>
        <v>30629116</v>
      </c>
      <c r="D20" s="1767">
        <v>14647505.1</v>
      </c>
      <c r="E20" s="1768"/>
      <c r="F20" s="1769"/>
      <c r="G20" s="1790">
        <f t="shared" si="0"/>
        <v>47.82216078322339</v>
      </c>
      <c r="H20" s="1791"/>
      <c r="I20" s="1792"/>
    </row>
    <row r="21" spans="1:9" s="372" customFormat="1" ht="15" customHeight="1">
      <c r="A21" s="302" t="s">
        <v>659</v>
      </c>
      <c r="B21" s="558"/>
      <c r="C21" s="558">
        <f>B21</f>
        <v>0</v>
      </c>
      <c r="D21" s="1767"/>
      <c r="E21" s="1768"/>
      <c r="F21" s="1769"/>
      <c r="G21" s="1790"/>
      <c r="H21" s="1791"/>
      <c r="I21" s="1792"/>
    </row>
    <row r="22" spans="1:9" s="372" customFormat="1" ht="15" customHeight="1">
      <c r="A22" s="302" t="s">
        <v>658</v>
      </c>
      <c r="B22" s="558"/>
      <c r="C22" s="558">
        <f>B22</f>
        <v>0</v>
      </c>
      <c r="D22" s="1767"/>
      <c r="E22" s="1768"/>
      <c r="F22" s="1769"/>
      <c r="G22" s="1790"/>
      <c r="H22" s="1791"/>
      <c r="I22" s="1792"/>
    </row>
    <row r="23" spans="1:9" s="372" customFormat="1" ht="15" customHeight="1">
      <c r="A23" s="302" t="s">
        <v>674</v>
      </c>
      <c r="B23" s="558"/>
      <c r="C23" s="558">
        <f>B23</f>
        <v>0</v>
      </c>
      <c r="D23" s="1767"/>
      <c r="E23" s="1768"/>
      <c r="F23" s="1769"/>
      <c r="G23" s="1790"/>
      <c r="H23" s="1791"/>
      <c r="I23" s="1792"/>
    </row>
    <row r="24" spans="1:9" s="372" customFormat="1" ht="15" customHeight="1">
      <c r="A24" s="302" t="s">
        <v>660</v>
      </c>
      <c r="B24" s="558"/>
      <c r="C24" s="558"/>
      <c r="D24" s="1767">
        <v>25165.65</v>
      </c>
      <c r="E24" s="1768"/>
      <c r="F24" s="1769"/>
      <c r="G24" s="1790"/>
      <c r="H24" s="1791"/>
      <c r="I24" s="1792"/>
    </row>
    <row r="25" spans="1:9" s="588" customFormat="1" ht="15" customHeight="1">
      <c r="A25" s="487" t="s">
        <v>402</v>
      </c>
      <c r="B25" s="559">
        <f>B26+B27+B28+B29-B30</f>
        <v>534599724</v>
      </c>
      <c r="C25" s="559">
        <f>C26+C27+C28+C29-C30</f>
        <v>534599724</v>
      </c>
      <c r="D25" s="1793">
        <f>D26+D27+D28+D29-D30</f>
        <v>218873281.72999996</v>
      </c>
      <c r="E25" s="1794"/>
      <c r="F25" s="1795"/>
      <c r="G25" s="1790">
        <f t="shared" si="0"/>
        <v>40.94152538881594</v>
      </c>
      <c r="H25" s="1791"/>
      <c r="I25" s="1792"/>
    </row>
    <row r="26" spans="1:9" s="372" customFormat="1" ht="15" customHeight="1">
      <c r="A26" s="302" t="s">
        <v>665</v>
      </c>
      <c r="B26" s="558">
        <v>509804371</v>
      </c>
      <c r="C26" s="558">
        <f>B26</f>
        <v>509804371</v>
      </c>
      <c r="D26" s="1767">
        <v>210219004.38</v>
      </c>
      <c r="E26" s="1768"/>
      <c r="F26" s="1769"/>
      <c r="G26" s="1790">
        <f t="shared" si="0"/>
        <v>41.235229891742144</v>
      </c>
      <c r="H26" s="1791"/>
      <c r="I26" s="1792"/>
    </row>
    <row r="27" spans="1:9" s="372" customFormat="1" ht="15" customHeight="1">
      <c r="A27" s="302" t="s">
        <v>666</v>
      </c>
      <c r="B27" s="558">
        <v>1758392</v>
      </c>
      <c r="C27" s="558">
        <f>B27</f>
        <v>1758392</v>
      </c>
      <c r="D27" s="1767">
        <v>892082.7</v>
      </c>
      <c r="E27" s="1768"/>
      <c r="F27" s="1769"/>
      <c r="G27" s="1790">
        <f t="shared" si="0"/>
        <v>50.7328684388919</v>
      </c>
      <c r="H27" s="1791"/>
      <c r="I27" s="1792"/>
    </row>
    <row r="28" spans="1:9" s="372" customFormat="1" ht="15" customHeight="1">
      <c r="A28" s="302" t="s">
        <v>667</v>
      </c>
      <c r="B28" s="558">
        <v>19974553</v>
      </c>
      <c r="C28" s="558">
        <f>B28</f>
        <v>19974553</v>
      </c>
      <c r="D28" s="1767">
        <v>6567662.75</v>
      </c>
      <c r="E28" s="1768"/>
      <c r="F28" s="1769"/>
      <c r="G28" s="1790">
        <f t="shared" si="0"/>
        <v>32.88014880733501</v>
      </c>
      <c r="H28" s="1791"/>
      <c r="I28" s="1792"/>
    </row>
    <row r="29" spans="1:9" s="372" customFormat="1" ht="15" customHeight="1">
      <c r="A29" s="302" t="s">
        <v>673</v>
      </c>
      <c r="B29" s="558">
        <v>3062408</v>
      </c>
      <c r="C29" s="558">
        <f>B29</f>
        <v>3062408</v>
      </c>
      <c r="D29" s="1767">
        <v>1285019.98</v>
      </c>
      <c r="E29" s="1768"/>
      <c r="F29" s="1769"/>
      <c r="G29" s="1790">
        <f t="shared" si="0"/>
        <v>41.96109662722929</v>
      </c>
      <c r="H29" s="1791"/>
      <c r="I29" s="1792"/>
    </row>
    <row r="30" spans="1:9" s="372" customFormat="1" ht="15" customHeight="1">
      <c r="A30" s="302" t="s">
        <v>668</v>
      </c>
      <c r="B30" s="558"/>
      <c r="C30" s="558"/>
      <c r="D30" s="1767">
        <v>90488.08</v>
      </c>
      <c r="E30" s="1768"/>
      <c r="F30" s="1769"/>
      <c r="G30" s="1790"/>
      <c r="H30" s="1791"/>
      <c r="I30" s="1792"/>
    </row>
    <row r="31" spans="1:9" s="588" customFormat="1" ht="15" customHeight="1">
      <c r="A31" s="487" t="s">
        <v>523</v>
      </c>
      <c r="B31" s="559">
        <f>B32+B33+B34+B35-B36</f>
        <v>43270249</v>
      </c>
      <c r="C31" s="559">
        <f>C32+C33+C34+C35-C36</f>
        <v>43270249</v>
      </c>
      <c r="D31" s="1793">
        <f>D32+D33+D34+D35-D36</f>
        <v>28672356.85</v>
      </c>
      <c r="E31" s="1794"/>
      <c r="F31" s="1795"/>
      <c r="G31" s="1790">
        <f t="shared" si="0"/>
        <v>66.26344315698299</v>
      </c>
      <c r="H31" s="1791"/>
      <c r="I31" s="1792"/>
    </row>
    <row r="32" spans="1:9" s="372" customFormat="1" ht="15" customHeight="1">
      <c r="A32" s="302" t="s">
        <v>669</v>
      </c>
      <c r="B32" s="558">
        <v>43270249</v>
      </c>
      <c r="C32" s="558">
        <f>B32</f>
        <v>43270249</v>
      </c>
      <c r="D32" s="1767">
        <v>28676766.14</v>
      </c>
      <c r="E32" s="1768"/>
      <c r="F32" s="1769"/>
      <c r="G32" s="1790">
        <f t="shared" si="0"/>
        <v>66.27363327629568</v>
      </c>
      <c r="H32" s="1791"/>
      <c r="I32" s="1792"/>
    </row>
    <row r="33" spans="1:9" s="372" customFormat="1" ht="15" customHeight="1">
      <c r="A33" s="302" t="s">
        <v>670</v>
      </c>
      <c r="B33" s="558"/>
      <c r="C33" s="558">
        <f>B33</f>
        <v>0</v>
      </c>
      <c r="D33" s="1767"/>
      <c r="E33" s="1768"/>
      <c r="F33" s="1769"/>
      <c r="G33" s="1790"/>
      <c r="H33" s="1791"/>
      <c r="I33" s="1792"/>
    </row>
    <row r="34" spans="1:9" s="372" customFormat="1" ht="15" customHeight="1">
      <c r="A34" s="302" t="s">
        <v>671</v>
      </c>
      <c r="B34" s="558"/>
      <c r="C34" s="558">
        <f>B34</f>
        <v>0</v>
      </c>
      <c r="D34" s="1767"/>
      <c r="E34" s="1768"/>
      <c r="F34" s="1769"/>
      <c r="G34" s="1790"/>
      <c r="H34" s="1791"/>
      <c r="I34" s="1792"/>
    </row>
    <row r="35" spans="1:9" s="372" customFormat="1" ht="15" customHeight="1">
      <c r="A35" s="302" t="s">
        <v>672</v>
      </c>
      <c r="B35" s="558"/>
      <c r="C35" s="558">
        <f>B35</f>
        <v>0</v>
      </c>
      <c r="D35" s="1767"/>
      <c r="E35" s="1768"/>
      <c r="F35" s="1769"/>
      <c r="G35" s="1790"/>
      <c r="H35" s="1791"/>
      <c r="I35" s="1792"/>
    </row>
    <row r="36" spans="1:9" s="372" customFormat="1" ht="15" customHeight="1">
      <c r="A36" s="302" t="s">
        <v>675</v>
      </c>
      <c r="B36" s="558"/>
      <c r="C36" s="558"/>
      <c r="D36" s="1767">
        <v>4409.29</v>
      </c>
      <c r="E36" s="1768"/>
      <c r="F36" s="1769"/>
      <c r="G36" s="1790"/>
      <c r="H36" s="1791"/>
      <c r="I36" s="1792"/>
    </row>
    <row r="37" spans="1:9" s="372" customFormat="1" ht="15" customHeight="1">
      <c r="A37" s="487" t="s">
        <v>524</v>
      </c>
      <c r="B37" s="559">
        <f>B38+B39+B40+B41-B42</f>
        <v>0</v>
      </c>
      <c r="C37" s="559">
        <f>C38+C39+C40+C41-C42</f>
        <v>0</v>
      </c>
      <c r="D37" s="1793">
        <f>D38+D39+D40+D41-D42</f>
        <v>0</v>
      </c>
      <c r="E37" s="1794"/>
      <c r="F37" s="1795"/>
      <c r="G37" s="1790"/>
      <c r="H37" s="1791"/>
      <c r="I37" s="1792"/>
    </row>
    <row r="38" spans="1:9" s="372" customFormat="1" ht="15" customHeight="1">
      <c r="A38" s="302" t="s">
        <v>676</v>
      </c>
      <c r="B38" s="558"/>
      <c r="C38" s="558">
        <f>B38</f>
        <v>0</v>
      </c>
      <c r="D38" s="1767"/>
      <c r="E38" s="1768"/>
      <c r="F38" s="1769"/>
      <c r="G38" s="1790"/>
      <c r="H38" s="1791"/>
      <c r="I38" s="1792"/>
    </row>
    <row r="39" spans="1:9" s="372" customFormat="1" ht="15" customHeight="1">
      <c r="A39" s="302" t="s">
        <v>677</v>
      </c>
      <c r="B39" s="558"/>
      <c r="C39" s="558"/>
      <c r="D39" s="1767"/>
      <c r="E39" s="1768"/>
      <c r="F39" s="1769"/>
      <c r="G39" s="1790"/>
      <c r="H39" s="1791"/>
      <c r="I39" s="1792"/>
    </row>
    <row r="40" spans="1:9" s="372" customFormat="1" ht="15" customHeight="1">
      <c r="A40" s="302" t="s">
        <v>678</v>
      </c>
      <c r="B40" s="558"/>
      <c r="C40" s="558"/>
      <c r="D40" s="1767"/>
      <c r="E40" s="1768"/>
      <c r="F40" s="1769"/>
      <c r="G40" s="1790"/>
      <c r="H40" s="1791"/>
      <c r="I40" s="1792"/>
    </row>
    <row r="41" spans="1:9" s="372" customFormat="1" ht="15" customHeight="1">
      <c r="A41" s="302" t="s">
        <v>679</v>
      </c>
      <c r="B41" s="558"/>
      <c r="C41" s="558"/>
      <c r="D41" s="1767"/>
      <c r="E41" s="1768"/>
      <c r="F41" s="1769"/>
      <c r="G41" s="1790"/>
      <c r="H41" s="1791"/>
      <c r="I41" s="1792"/>
    </row>
    <row r="42" spans="1:9" s="372" customFormat="1" ht="15" customHeight="1">
      <c r="A42" s="302" t="s">
        <v>680</v>
      </c>
      <c r="B42" s="558"/>
      <c r="C42" s="558"/>
      <c r="D42" s="1767"/>
      <c r="E42" s="1768"/>
      <c r="F42" s="1769"/>
      <c r="G42" s="1790"/>
      <c r="H42" s="1791"/>
      <c r="I42" s="1792"/>
    </row>
    <row r="43" spans="1:9" s="372" customFormat="1" ht="15" customHeight="1">
      <c r="A43" s="301" t="s">
        <v>527</v>
      </c>
      <c r="B43" s="559">
        <f>B44+SUM(B47:B52)</f>
        <v>1108751879</v>
      </c>
      <c r="C43" s="559">
        <f>C44+SUM(C47:C52)</f>
        <v>1108751879</v>
      </c>
      <c r="D43" s="1793">
        <f>D44+SUM(D47:D52)</f>
        <v>487970182.33</v>
      </c>
      <c r="E43" s="1794"/>
      <c r="F43" s="1795"/>
      <c r="G43" s="1790">
        <f t="shared" si="0"/>
        <v>44.01076485841969</v>
      </c>
      <c r="H43" s="1791"/>
      <c r="I43" s="1792"/>
    </row>
    <row r="44" spans="1:9" s="372" customFormat="1" ht="16.5" customHeight="1">
      <c r="A44" s="302" t="s">
        <v>403</v>
      </c>
      <c r="B44" s="558">
        <f>B45+B46</f>
        <v>559790291</v>
      </c>
      <c r="C44" s="558">
        <f>C45+C46</f>
        <v>559790291</v>
      </c>
      <c r="D44" s="1784">
        <f>D45+D46</f>
        <v>232324002.37</v>
      </c>
      <c r="E44" s="1785"/>
      <c r="F44" s="1786"/>
      <c r="G44" s="1790">
        <f t="shared" si="0"/>
        <v>41.50197066744054</v>
      </c>
      <c r="H44" s="1791"/>
      <c r="I44" s="1792"/>
    </row>
    <row r="45" spans="1:9" s="604" customFormat="1" ht="16.5" customHeight="1">
      <c r="A45" s="302" t="s">
        <v>681</v>
      </c>
      <c r="B45" s="558">
        <v>559790291</v>
      </c>
      <c r="C45" s="558">
        <f>B45</f>
        <v>559790291</v>
      </c>
      <c r="D45" s="1767">
        <v>232324002.37</v>
      </c>
      <c r="E45" s="1768"/>
      <c r="F45" s="1769"/>
      <c r="G45" s="1790">
        <f t="shared" si="0"/>
        <v>41.50197066744054</v>
      </c>
      <c r="H45" s="1791"/>
      <c r="I45" s="1792"/>
    </row>
    <row r="46" spans="1:9" s="604" customFormat="1" ht="16.5" customHeight="1">
      <c r="A46" s="302" t="s">
        <v>682</v>
      </c>
      <c r="B46" s="558">
        <v>0</v>
      </c>
      <c r="C46" s="558">
        <v>0</v>
      </c>
      <c r="D46" s="1767"/>
      <c r="E46" s="1768"/>
      <c r="F46" s="1769"/>
      <c r="G46" s="1790"/>
      <c r="H46" s="1791"/>
      <c r="I46" s="1792"/>
    </row>
    <row r="47" spans="1:9" s="372" customFormat="1" ht="17.25" customHeight="1">
      <c r="A47" s="302" t="s">
        <v>404</v>
      </c>
      <c r="B47" s="558">
        <v>452602097</v>
      </c>
      <c r="C47" s="558">
        <f aca="true" t="shared" si="1" ref="C47:C52">B47</f>
        <v>452602097</v>
      </c>
      <c r="D47" s="1767">
        <v>189646155.5</v>
      </c>
      <c r="E47" s="1768"/>
      <c r="F47" s="1769"/>
      <c r="G47" s="1790">
        <f t="shared" si="0"/>
        <v>41.901298459958305</v>
      </c>
      <c r="H47" s="1791"/>
      <c r="I47" s="1792"/>
    </row>
    <row r="48" spans="1:9" s="372" customFormat="1" ht="16.5" customHeight="1">
      <c r="A48" s="302" t="s">
        <v>405</v>
      </c>
      <c r="B48" s="558">
        <v>3469208</v>
      </c>
      <c r="C48" s="558">
        <f t="shared" si="1"/>
        <v>3469208</v>
      </c>
      <c r="D48" s="1767">
        <v>1356471.6</v>
      </c>
      <c r="E48" s="1768"/>
      <c r="F48" s="1769"/>
      <c r="G48" s="1790">
        <f t="shared" si="0"/>
        <v>39.100324915657986</v>
      </c>
      <c r="H48" s="1791"/>
      <c r="I48" s="1792"/>
    </row>
    <row r="49" spans="1:9" s="372" customFormat="1" ht="15.75" customHeight="1">
      <c r="A49" s="302" t="s">
        <v>406</v>
      </c>
      <c r="B49" s="558">
        <v>3654191</v>
      </c>
      <c r="C49" s="558">
        <f t="shared" si="1"/>
        <v>3654191</v>
      </c>
      <c r="D49" s="1767">
        <v>1052730.48</v>
      </c>
      <c r="E49" s="1768"/>
      <c r="F49" s="1769"/>
      <c r="G49" s="1790">
        <f t="shared" si="0"/>
        <v>28.808852082444513</v>
      </c>
      <c r="H49" s="1791"/>
      <c r="I49" s="1792"/>
    </row>
    <row r="50" spans="1:9" s="372" customFormat="1" ht="17.25" customHeight="1">
      <c r="A50" s="302" t="s">
        <v>407</v>
      </c>
      <c r="B50" s="558">
        <v>24850</v>
      </c>
      <c r="C50" s="558">
        <f t="shared" si="1"/>
        <v>24850</v>
      </c>
      <c r="D50" s="1767">
        <v>4525.44</v>
      </c>
      <c r="E50" s="1768"/>
      <c r="F50" s="1769"/>
      <c r="G50" s="1790">
        <f t="shared" si="0"/>
        <v>18.21102615694165</v>
      </c>
      <c r="H50" s="1791"/>
      <c r="I50" s="1792"/>
    </row>
    <row r="51" spans="1:9" s="372" customFormat="1" ht="15.75" customHeight="1">
      <c r="A51" s="302" t="s">
        <v>408</v>
      </c>
      <c r="B51" s="558">
        <v>88974010</v>
      </c>
      <c r="C51" s="558">
        <f t="shared" si="1"/>
        <v>88974010</v>
      </c>
      <c r="D51" s="1767">
        <v>63044678.01</v>
      </c>
      <c r="E51" s="1768"/>
      <c r="F51" s="1769"/>
      <c r="G51" s="1790">
        <f t="shared" si="0"/>
        <v>70.85740882084555</v>
      </c>
      <c r="H51" s="1791"/>
      <c r="I51" s="1792"/>
    </row>
    <row r="52" spans="1:9" s="372" customFormat="1" ht="16.5" customHeight="1">
      <c r="A52" s="302" t="s">
        <v>409</v>
      </c>
      <c r="B52" s="558">
        <v>237232</v>
      </c>
      <c r="C52" s="558">
        <f t="shared" si="1"/>
        <v>237232</v>
      </c>
      <c r="D52" s="1898">
        <v>541618.93</v>
      </c>
      <c r="E52" s="1899"/>
      <c r="F52" s="1900"/>
      <c r="G52" s="1790">
        <f t="shared" si="0"/>
        <v>228.30770300802592</v>
      </c>
      <c r="H52" s="1791"/>
      <c r="I52" s="1792"/>
    </row>
    <row r="53" spans="1:9" s="372" customFormat="1" ht="21" customHeight="1">
      <c r="A53" s="469" t="s">
        <v>410</v>
      </c>
      <c r="B53" s="597">
        <f>B11+B43</f>
        <v>1783840237</v>
      </c>
      <c r="C53" s="1168">
        <f>C11+C43</f>
        <v>1783840237</v>
      </c>
      <c r="D53" s="1901">
        <f>D11+D43</f>
        <v>793864085.96</v>
      </c>
      <c r="E53" s="1902"/>
      <c r="F53" s="1903"/>
      <c r="G53" s="1799">
        <f t="shared" si="0"/>
        <v>44.503093354093906</v>
      </c>
      <c r="H53" s="1800"/>
      <c r="I53" s="1801"/>
    </row>
    <row r="54" spans="2:9" ht="16.5" customHeight="1">
      <c r="B54" s="235"/>
      <c r="C54" s="235"/>
      <c r="D54" s="235"/>
      <c r="E54" s="235"/>
      <c r="F54" s="235"/>
      <c r="G54" s="1768"/>
      <c r="H54" s="1768"/>
      <c r="I54" s="1769"/>
    </row>
    <row r="55" spans="1:9" ht="17.25" customHeight="1">
      <c r="A55" s="1812" t="s">
        <v>411</v>
      </c>
      <c r="B55" s="1813" t="s">
        <v>399</v>
      </c>
      <c r="C55" s="1814" t="s">
        <v>316</v>
      </c>
      <c r="D55" s="1818" t="s">
        <v>216</v>
      </c>
      <c r="E55" s="1819"/>
      <c r="F55" s="1819"/>
      <c r="G55" s="1819"/>
      <c r="H55" s="1819"/>
      <c r="I55" s="1829"/>
    </row>
    <row r="56" spans="1:9" ht="14.25" customHeight="1">
      <c r="A56" s="1812"/>
      <c r="B56" s="1813"/>
      <c r="C56" s="1814"/>
      <c r="D56" s="1904" t="s">
        <v>859</v>
      </c>
      <c r="E56" s="1905"/>
      <c r="F56" s="1906"/>
      <c r="G56" s="1796" t="s">
        <v>99</v>
      </c>
      <c r="H56" s="1797"/>
      <c r="I56" s="1798"/>
    </row>
    <row r="57" spans="1:9" ht="12.75" customHeight="1">
      <c r="A57" s="1812"/>
      <c r="B57" s="379"/>
      <c r="C57" s="561" t="s">
        <v>105</v>
      </c>
      <c r="D57" s="1826"/>
      <c r="E57" s="1827"/>
      <c r="F57" s="1828"/>
      <c r="G57" s="1826" t="s">
        <v>870</v>
      </c>
      <c r="H57" s="1827"/>
      <c r="I57" s="1828"/>
    </row>
    <row r="58" spans="1:9" ht="18" customHeight="1">
      <c r="A58" s="321" t="s">
        <v>509</v>
      </c>
      <c r="B58" s="562"/>
      <c r="C58" s="562">
        <f>B58</f>
        <v>0</v>
      </c>
      <c r="D58" s="1927">
        <f>E58</f>
        <v>0</v>
      </c>
      <c r="E58" s="1881"/>
      <c r="F58" s="1882"/>
      <c r="G58" s="1809"/>
      <c r="H58" s="1810"/>
      <c r="I58" s="1811"/>
    </row>
    <row r="59" spans="1:9" s="120" customFormat="1" ht="15.75" customHeight="1">
      <c r="A59" s="301" t="s">
        <v>412</v>
      </c>
      <c r="B59" s="559">
        <f>B60+B61+B62+B63+B64+B65</f>
        <v>21756725</v>
      </c>
      <c r="C59" s="559">
        <f>C60+C61+C62+C63+C64+C65</f>
        <v>21756725</v>
      </c>
      <c r="D59" s="1793">
        <f>D60+D61+D62+D63+D64+D65</f>
        <v>9526358.969999999</v>
      </c>
      <c r="E59" s="1794"/>
      <c r="F59" s="1795"/>
      <c r="G59" s="1790">
        <f aca="true" t="shared" si="2" ref="G59:G71">(D59/C59)*100</f>
        <v>43.78581321407518</v>
      </c>
      <c r="H59" s="1791"/>
      <c r="I59" s="1792"/>
    </row>
    <row r="60" spans="1:9" s="120" customFormat="1" ht="15.75" customHeight="1">
      <c r="A60" s="303" t="s">
        <v>528</v>
      </c>
      <c r="B60" s="558">
        <v>4506204</v>
      </c>
      <c r="C60" s="558">
        <f>B60</f>
        <v>4506204</v>
      </c>
      <c r="D60" s="1767">
        <v>2726602.26</v>
      </c>
      <c r="E60" s="1768"/>
      <c r="F60" s="1769"/>
      <c r="G60" s="1790">
        <f t="shared" si="2"/>
        <v>60.50774132729011</v>
      </c>
      <c r="H60" s="1791"/>
      <c r="I60" s="1792"/>
    </row>
    <row r="61" spans="1:9" s="120" customFormat="1" ht="15.75" customHeight="1">
      <c r="A61" s="303" t="s">
        <v>860</v>
      </c>
      <c r="B61" s="558"/>
      <c r="C61" s="558"/>
      <c r="D61" s="1924"/>
      <c r="E61" s="1925"/>
      <c r="F61" s="1926"/>
      <c r="G61" s="1790"/>
      <c r="H61" s="1791"/>
      <c r="I61" s="1792"/>
    </row>
    <row r="62" spans="1:9" s="120" customFormat="1" ht="17.25" customHeight="1">
      <c r="A62" s="303" t="s">
        <v>920</v>
      </c>
      <c r="B62" s="558">
        <v>10733536</v>
      </c>
      <c r="C62" s="558">
        <f>B62</f>
        <v>10733536</v>
      </c>
      <c r="D62" s="1767">
        <v>6126312</v>
      </c>
      <c r="E62" s="1768"/>
      <c r="F62" s="1769"/>
      <c r="G62" s="1790">
        <f t="shared" si="2"/>
        <v>57.076363278606415</v>
      </c>
      <c r="H62" s="1791"/>
      <c r="I62" s="1792"/>
    </row>
    <row r="63" spans="1:9" s="120" customFormat="1" ht="17.25" customHeight="1">
      <c r="A63" s="303" t="s">
        <v>861</v>
      </c>
      <c r="B63" s="558">
        <v>800857</v>
      </c>
      <c r="C63" s="558">
        <f>B63</f>
        <v>800857</v>
      </c>
      <c r="D63" s="1767">
        <v>599944.71</v>
      </c>
      <c r="E63" s="1768"/>
      <c r="F63" s="1769"/>
      <c r="G63" s="1790">
        <f>(D63/C63)*100</f>
        <v>74.91283837189411</v>
      </c>
      <c r="H63" s="1791"/>
      <c r="I63" s="1792"/>
    </row>
    <row r="64" spans="1:9" s="120" customFormat="1" ht="17.25" customHeight="1">
      <c r="A64" s="303" t="s">
        <v>862</v>
      </c>
      <c r="B64" s="558">
        <v>5716128</v>
      </c>
      <c r="C64" s="558">
        <f>B64</f>
        <v>5716128</v>
      </c>
      <c r="D64" s="1767">
        <v>73500</v>
      </c>
      <c r="E64" s="1768"/>
      <c r="F64" s="1769"/>
      <c r="G64" s="1790">
        <f>(D64/C64)*100</f>
        <v>1.2858354466519994</v>
      </c>
      <c r="H64" s="1791"/>
      <c r="I64" s="1792"/>
    </row>
    <row r="65" spans="1:9" s="120" customFormat="1" ht="17.25" customHeight="1">
      <c r="A65" s="303" t="s">
        <v>863</v>
      </c>
      <c r="B65" s="558"/>
      <c r="C65" s="558"/>
      <c r="D65" s="1767"/>
      <c r="E65" s="1768"/>
      <c r="F65" s="1769"/>
      <c r="G65" s="1790"/>
      <c r="H65" s="1791"/>
      <c r="I65" s="1792"/>
    </row>
    <row r="66" spans="1:9" s="120" customFormat="1" ht="15.75" customHeight="1">
      <c r="A66" s="304" t="s">
        <v>413</v>
      </c>
      <c r="B66" s="559">
        <f>B67+B68</f>
        <v>592885</v>
      </c>
      <c r="C66" s="559">
        <f>C67+C68</f>
        <v>592885</v>
      </c>
      <c r="D66" s="1793">
        <f>D67+D68</f>
        <v>0</v>
      </c>
      <c r="E66" s="1794"/>
      <c r="F66" s="1795"/>
      <c r="G66" s="1790">
        <f t="shared" si="2"/>
        <v>0</v>
      </c>
      <c r="H66" s="1791"/>
      <c r="I66" s="1792"/>
    </row>
    <row r="67" spans="1:9" s="120" customFormat="1" ht="15.75" customHeight="1">
      <c r="A67" s="319" t="s">
        <v>529</v>
      </c>
      <c r="B67" s="558">
        <v>592885</v>
      </c>
      <c r="C67" s="558">
        <f>B67</f>
        <v>592885</v>
      </c>
      <c r="D67" s="1767">
        <v>0</v>
      </c>
      <c r="E67" s="1768"/>
      <c r="F67" s="1769"/>
      <c r="G67" s="1790">
        <f t="shared" si="2"/>
        <v>0</v>
      </c>
      <c r="H67" s="1791"/>
      <c r="I67" s="1792"/>
    </row>
    <row r="68" spans="1:9" s="120" customFormat="1" ht="16.5" customHeight="1">
      <c r="A68" s="319" t="s">
        <v>530</v>
      </c>
      <c r="B68" s="558"/>
      <c r="C68" s="619"/>
      <c r="D68" s="1767"/>
      <c r="E68" s="1768"/>
      <c r="F68" s="1769"/>
      <c r="G68" s="1790"/>
      <c r="H68" s="1791"/>
      <c r="I68" s="1792"/>
    </row>
    <row r="69" spans="1:9" s="587" customFormat="1" ht="17.25" customHeight="1">
      <c r="A69" s="301" t="s">
        <v>414</v>
      </c>
      <c r="B69" s="559">
        <v>3000000</v>
      </c>
      <c r="C69" s="560">
        <f>B69</f>
        <v>3000000</v>
      </c>
      <c r="D69" s="1767">
        <v>0</v>
      </c>
      <c r="E69" s="1768"/>
      <c r="F69" s="1769"/>
      <c r="G69" s="1790">
        <f t="shared" si="2"/>
        <v>0</v>
      </c>
      <c r="H69" s="1791"/>
      <c r="I69" s="1792"/>
    </row>
    <row r="70" spans="1:9" s="587" customFormat="1" ht="18" customHeight="1">
      <c r="A70" s="304" t="s">
        <v>864</v>
      </c>
      <c r="B70" s="559"/>
      <c r="C70" s="560">
        <v>0</v>
      </c>
      <c r="D70" s="1918">
        <v>0</v>
      </c>
      <c r="E70" s="1919"/>
      <c r="F70" s="1920"/>
      <c r="G70" s="1790"/>
      <c r="H70" s="1791"/>
      <c r="I70" s="1792"/>
    </row>
    <row r="71" spans="1:9" s="120" customFormat="1" ht="20.25" customHeight="1">
      <c r="A71" s="305" t="s">
        <v>510</v>
      </c>
      <c r="B71" s="557">
        <f>B58+B59+B66+B69+B70</f>
        <v>25349610</v>
      </c>
      <c r="C71" s="557">
        <f>C58+C59+C66+C69+C70</f>
        <v>25349610</v>
      </c>
      <c r="D71" s="1921">
        <f>D58+D59+D66+D69+D70</f>
        <v>9526358.969999999</v>
      </c>
      <c r="E71" s="1922"/>
      <c r="F71" s="1923"/>
      <c r="G71" s="1799">
        <f t="shared" si="2"/>
        <v>37.579903477804976</v>
      </c>
      <c r="H71" s="1800"/>
      <c r="I71" s="1801"/>
    </row>
    <row r="72" spans="2:9" ht="16.5" customHeight="1">
      <c r="B72" s="1232"/>
      <c r="C72" s="235"/>
      <c r="D72" s="235"/>
      <c r="E72" s="235"/>
      <c r="F72" s="235"/>
      <c r="G72" s="1936"/>
      <c r="H72" s="1936"/>
      <c r="I72" s="1937"/>
    </row>
    <row r="73" spans="1:9" ht="16.5" customHeight="1">
      <c r="A73" s="1812" t="s">
        <v>415</v>
      </c>
      <c r="B73" s="1813" t="s">
        <v>399</v>
      </c>
      <c r="C73" s="1814" t="s">
        <v>316</v>
      </c>
      <c r="D73" s="1818" t="s">
        <v>216</v>
      </c>
      <c r="E73" s="1819"/>
      <c r="F73" s="1819"/>
      <c r="G73" s="1819"/>
      <c r="H73" s="1819"/>
      <c r="I73" s="1829"/>
    </row>
    <row r="74" spans="1:9" ht="15" customHeight="1">
      <c r="A74" s="1812"/>
      <c r="B74" s="1813"/>
      <c r="C74" s="1813"/>
      <c r="D74" s="1904" t="s">
        <v>931</v>
      </c>
      <c r="E74" s="1905"/>
      <c r="F74" s="1906"/>
      <c r="G74" s="1796" t="s">
        <v>99</v>
      </c>
      <c r="H74" s="1797"/>
      <c r="I74" s="1798"/>
    </row>
    <row r="75" spans="1:9" ht="13.5" customHeight="1">
      <c r="A75" s="1812"/>
      <c r="B75" s="379"/>
      <c r="C75" s="468" t="s">
        <v>105</v>
      </c>
      <c r="D75" s="1826"/>
      <c r="E75" s="1827"/>
      <c r="F75" s="1828"/>
      <c r="G75" s="1904" t="s">
        <v>870</v>
      </c>
      <c r="H75" s="1905"/>
      <c r="I75" s="1906"/>
    </row>
    <row r="76" spans="1:9" s="372" customFormat="1" ht="24" customHeight="1">
      <c r="A76" s="301" t="s">
        <v>416</v>
      </c>
      <c r="B76" s="559">
        <f>SUM(B77:B82)</f>
        <v>221702929.4</v>
      </c>
      <c r="C76" s="559">
        <f>SUM(C77:C82)</f>
        <v>221702929.4</v>
      </c>
      <c r="D76" s="1787">
        <f>SUM(D77:D82)</f>
        <v>97485712.39000002</v>
      </c>
      <c r="E76" s="1788"/>
      <c r="F76" s="1789"/>
      <c r="G76" s="1809">
        <f>D76/C76*100</f>
        <v>43.97132354264689</v>
      </c>
      <c r="H76" s="1810"/>
      <c r="I76" s="1811"/>
    </row>
    <row r="77" spans="1:11" s="689" customFormat="1" ht="23.25" customHeight="1">
      <c r="A77" s="302" t="s">
        <v>683</v>
      </c>
      <c r="B77" s="558">
        <f>(B44*20%)</f>
        <v>111958058.2</v>
      </c>
      <c r="C77" s="558">
        <f aca="true" t="shared" si="3" ref="C77:C82">B77</f>
        <v>111958058.2</v>
      </c>
      <c r="D77" s="1784">
        <f>(D44*20%)-0.16</f>
        <v>46464800.31400001</v>
      </c>
      <c r="E77" s="1785"/>
      <c r="F77" s="1786"/>
      <c r="G77" s="1790">
        <f aca="true" t="shared" si="4" ref="G77:G87">D77/C77*100</f>
        <v>41.50197052452988</v>
      </c>
      <c r="H77" s="1791"/>
      <c r="I77" s="1792"/>
      <c r="K77" s="1348"/>
    </row>
    <row r="78" spans="1:9" s="689" customFormat="1" ht="18.75" customHeight="1">
      <c r="A78" s="302" t="s">
        <v>684</v>
      </c>
      <c r="B78" s="558">
        <f>(B47*20%)</f>
        <v>90520419.4</v>
      </c>
      <c r="C78" s="558">
        <f t="shared" si="3"/>
        <v>90520419.4</v>
      </c>
      <c r="D78" s="1784">
        <f>(D47*20%)-0.17</f>
        <v>37929230.93</v>
      </c>
      <c r="E78" s="1785"/>
      <c r="F78" s="1786"/>
      <c r="G78" s="1790">
        <f t="shared" si="4"/>
        <v>41.90129827215537</v>
      </c>
      <c r="H78" s="1791"/>
      <c r="I78" s="1792"/>
    </row>
    <row r="79" spans="1:9" s="689" customFormat="1" ht="15.75" customHeight="1">
      <c r="A79" s="302" t="s">
        <v>685</v>
      </c>
      <c r="B79" s="558">
        <f>(B48*20%)</f>
        <v>693841.6000000001</v>
      </c>
      <c r="C79" s="558">
        <f t="shared" si="3"/>
        <v>693841.6000000001</v>
      </c>
      <c r="D79" s="1784">
        <f>(D48*20%)</f>
        <v>271294.32</v>
      </c>
      <c r="E79" s="1785"/>
      <c r="F79" s="1786"/>
      <c r="G79" s="1790">
        <f t="shared" si="4"/>
        <v>39.10032491565798</v>
      </c>
      <c r="H79" s="1791"/>
      <c r="I79" s="1792"/>
    </row>
    <row r="80" spans="1:9" s="689" customFormat="1" ht="21" customHeight="1">
      <c r="A80" s="302" t="s">
        <v>686</v>
      </c>
      <c r="B80" s="558">
        <f>(B49*20%)</f>
        <v>730838.2000000001</v>
      </c>
      <c r="C80" s="558">
        <f t="shared" si="3"/>
        <v>730838.2000000001</v>
      </c>
      <c r="D80" s="1784">
        <f>(D49*20%)+0.01</f>
        <v>210546.10600000003</v>
      </c>
      <c r="E80" s="1785"/>
      <c r="F80" s="1786"/>
      <c r="G80" s="1790">
        <f t="shared" si="4"/>
        <v>28.80885345073643</v>
      </c>
      <c r="H80" s="1791"/>
      <c r="I80" s="1792"/>
    </row>
    <row r="81" spans="1:9" s="689" customFormat="1" ht="17.25" customHeight="1">
      <c r="A81" s="302" t="s">
        <v>687</v>
      </c>
      <c r="B81" s="558">
        <f>(B50*20%)</f>
        <v>4970</v>
      </c>
      <c r="C81" s="558">
        <f t="shared" si="3"/>
        <v>4970</v>
      </c>
      <c r="D81" s="1784">
        <f>(D50*20%)-0.05</f>
        <v>905.038</v>
      </c>
      <c r="E81" s="1785"/>
      <c r="F81" s="1786"/>
      <c r="G81" s="1790">
        <f t="shared" si="4"/>
        <v>18.210020120724344</v>
      </c>
      <c r="H81" s="1791"/>
      <c r="I81" s="1792"/>
    </row>
    <row r="82" spans="1:9" s="689" customFormat="1" ht="19.5" customHeight="1">
      <c r="A82" s="302" t="s">
        <v>688</v>
      </c>
      <c r="B82" s="558">
        <f>(B51*20%)</f>
        <v>17794802</v>
      </c>
      <c r="C82" s="558">
        <f t="shared" si="3"/>
        <v>17794802</v>
      </c>
      <c r="D82" s="1784">
        <f>(D51*20%)+0.08</f>
        <v>12608935.682</v>
      </c>
      <c r="E82" s="1785"/>
      <c r="F82" s="1786"/>
      <c r="G82" s="1790">
        <f t="shared" si="4"/>
        <v>70.85740927041503</v>
      </c>
      <c r="H82" s="1791"/>
      <c r="I82" s="1792"/>
    </row>
    <row r="83" spans="1:9" s="372" customFormat="1" ht="18" customHeight="1">
      <c r="A83" s="301" t="s">
        <v>417</v>
      </c>
      <c r="B83" s="559">
        <f>B84+B85+B86</f>
        <v>277623316</v>
      </c>
      <c r="C83" s="559">
        <f>C84+C85+C86</f>
        <v>277623316</v>
      </c>
      <c r="D83" s="1793">
        <f>D84+D85+D86</f>
        <v>188296129.45000002</v>
      </c>
      <c r="E83" s="1794"/>
      <c r="F83" s="1795"/>
      <c r="G83" s="1790">
        <f t="shared" si="4"/>
        <v>67.82432115680082</v>
      </c>
      <c r="H83" s="1791"/>
      <c r="I83" s="1792"/>
    </row>
    <row r="84" spans="1:9" s="372" customFormat="1" ht="17.25" customHeight="1">
      <c r="A84" s="302" t="s">
        <v>418</v>
      </c>
      <c r="B84" s="558">
        <v>143605365</v>
      </c>
      <c r="C84" s="558">
        <f>B84</f>
        <v>143605365</v>
      </c>
      <c r="D84" s="1767">
        <v>79135636.2</v>
      </c>
      <c r="E84" s="1768"/>
      <c r="F84" s="1769"/>
      <c r="G84" s="1790">
        <f t="shared" si="4"/>
        <v>55.10632294273964</v>
      </c>
      <c r="H84" s="1791"/>
      <c r="I84" s="1792"/>
    </row>
    <row r="85" spans="1:9" s="372" customFormat="1" ht="17.25" customHeight="1">
      <c r="A85" s="302" t="s">
        <v>419</v>
      </c>
      <c r="B85" s="558">
        <v>131785388</v>
      </c>
      <c r="C85" s="558">
        <f>B85</f>
        <v>131785388</v>
      </c>
      <c r="D85" s="1767">
        <v>106936479.1</v>
      </c>
      <c r="E85" s="1768"/>
      <c r="F85" s="1769"/>
      <c r="G85" s="1790">
        <f t="shared" si="4"/>
        <v>81.14441268708788</v>
      </c>
      <c r="H85" s="1791"/>
      <c r="I85" s="1792"/>
    </row>
    <row r="86" spans="1:9" s="372" customFormat="1" ht="21.75" customHeight="1">
      <c r="A86" s="302" t="s">
        <v>420</v>
      </c>
      <c r="B86" s="558">
        <v>2232563</v>
      </c>
      <c r="C86" s="558">
        <f>B86</f>
        <v>2232563</v>
      </c>
      <c r="D86" s="1767">
        <v>2224014.15</v>
      </c>
      <c r="E86" s="1768"/>
      <c r="F86" s="1769"/>
      <c r="G86" s="1779">
        <f t="shared" si="4"/>
        <v>99.61708359405759</v>
      </c>
      <c r="H86" s="1780"/>
      <c r="I86" s="1781"/>
    </row>
    <row r="87" spans="1:9" s="120" customFormat="1" ht="23.25" customHeight="1">
      <c r="A87" s="305" t="s">
        <v>421</v>
      </c>
      <c r="B87" s="557">
        <f>B84-B76</f>
        <v>-78097564.4</v>
      </c>
      <c r="C87" s="1159">
        <f>C84-C76</f>
        <v>-78097564.4</v>
      </c>
      <c r="D87" s="1770">
        <f>D84-D76</f>
        <v>-18350076.190000013</v>
      </c>
      <c r="E87" s="1771"/>
      <c r="F87" s="1772"/>
      <c r="G87" s="1779">
        <f t="shared" si="4"/>
        <v>23.496348869491776</v>
      </c>
      <c r="H87" s="1780"/>
      <c r="I87" s="1781"/>
    </row>
    <row r="88" spans="1:9" s="317" customFormat="1" ht="16.5" customHeight="1">
      <c r="A88" s="1782" t="s">
        <v>534</v>
      </c>
      <c r="B88" s="1782"/>
      <c r="C88" s="1782"/>
      <c r="D88" s="1782"/>
      <c r="E88" s="486"/>
      <c r="F88" s="486"/>
      <c r="G88" s="486"/>
      <c r="H88" s="555"/>
      <c r="I88" s="1233"/>
    </row>
    <row r="89" spans="1:9" s="317" customFormat="1" ht="16.5" customHeight="1">
      <c r="A89" s="1782" t="s">
        <v>533</v>
      </c>
      <c r="B89" s="1782"/>
      <c r="C89" s="1782"/>
      <c r="D89" s="1782"/>
      <c r="E89" s="486"/>
      <c r="F89" s="486"/>
      <c r="G89" s="486"/>
      <c r="H89" s="555"/>
      <c r="I89" s="1233"/>
    </row>
    <row r="90" spans="1:9" s="317" customFormat="1" ht="16.5" customHeight="1">
      <c r="A90" s="1839" t="s">
        <v>899</v>
      </c>
      <c r="B90" s="1839"/>
      <c r="C90" s="1839"/>
      <c r="D90" s="1839"/>
      <c r="E90" s="596" t="str">
        <f>'Anexo 1 _ BAL ORC'!H3</f>
        <v>Publicação: Diário Oficial do Município nº 140</v>
      </c>
      <c r="F90" s="486"/>
      <c r="G90" s="486"/>
      <c r="H90" s="555"/>
      <c r="I90" s="1233"/>
    </row>
    <row r="91" spans="1:9" s="317" customFormat="1" ht="16.5" customHeight="1">
      <c r="A91" s="1782" t="s">
        <v>897</v>
      </c>
      <c r="B91" s="1782"/>
      <c r="C91" s="1782"/>
      <c r="D91" s="1782"/>
      <c r="E91" s="596" t="str">
        <f>F4</f>
        <v>Data:30/07/2015</v>
      </c>
      <c r="F91" s="486"/>
      <c r="G91" s="486"/>
      <c r="H91" s="555"/>
      <c r="I91" s="1233"/>
    </row>
    <row r="92" spans="1:9" s="317" customFormat="1" ht="20.25" customHeight="1">
      <c r="A92" s="1783" t="str">
        <f>A5</f>
        <v>Referência: JANEIRO-JUNHO/2015; BIMESTRE: MAIO-JUNHO/2015</v>
      </c>
      <c r="B92" s="1783"/>
      <c r="C92" s="486"/>
      <c r="D92" s="486"/>
      <c r="E92" s="486"/>
      <c r="F92" s="486"/>
      <c r="G92" s="486"/>
      <c r="H92" s="555"/>
      <c r="I92" s="1233"/>
    </row>
    <row r="93" spans="1:9" s="317" customFormat="1" ht="22.5" customHeight="1">
      <c r="A93" s="467" t="s">
        <v>655</v>
      </c>
      <c r="B93" s="600"/>
      <c r="C93" s="600"/>
      <c r="D93" s="601"/>
      <c r="E93" s="318"/>
      <c r="F93" s="318"/>
      <c r="G93" s="555"/>
      <c r="H93" s="1235" t="s">
        <v>536</v>
      </c>
      <c r="I93" s="1219" t="s">
        <v>536</v>
      </c>
    </row>
    <row r="94" spans="1:9" s="120" customFormat="1" ht="23.25" customHeight="1">
      <c r="A94" s="896" t="s">
        <v>422</v>
      </c>
      <c r="B94" s="463"/>
      <c r="C94" s="463"/>
      <c r="D94" s="1217"/>
      <c r="E94" s="1776"/>
      <c r="F94" s="1777"/>
      <c r="G94" s="1777"/>
      <c r="H94" s="1777"/>
      <c r="I94" s="1778"/>
    </row>
    <row r="95" spans="1:9" s="120" customFormat="1" ht="23.25" customHeight="1">
      <c r="A95" s="488" t="s">
        <v>551</v>
      </c>
      <c r="B95" s="484"/>
      <c r="C95" s="484"/>
      <c r="D95" s="484"/>
      <c r="E95" s="1773">
        <f>D87</f>
        <v>-18350076.190000013</v>
      </c>
      <c r="F95" s="1774"/>
      <c r="G95" s="1774"/>
      <c r="H95" s="1774"/>
      <c r="I95" s="1775"/>
    </row>
    <row r="96" spans="1:9" s="317" customFormat="1" ht="16.5" customHeight="1">
      <c r="A96" s="1218"/>
      <c r="B96" s="1218"/>
      <c r="C96" s="1218"/>
      <c r="D96" s="1218"/>
      <c r="E96" s="1218"/>
      <c r="F96" s="1218"/>
      <c r="G96" s="1218"/>
      <c r="H96" s="1218"/>
      <c r="I96" s="1163"/>
    </row>
    <row r="97" spans="1:9" s="120" customFormat="1" ht="13.5" customHeight="1">
      <c r="A97" s="1959" t="s">
        <v>423</v>
      </c>
      <c r="B97" s="1933" t="s">
        <v>867</v>
      </c>
      <c r="C97" s="1962" t="s">
        <v>425</v>
      </c>
      <c r="D97" s="1941" t="s">
        <v>645</v>
      </c>
      <c r="E97" s="1942"/>
      <c r="F97" s="1941" t="s">
        <v>257</v>
      </c>
      <c r="G97" s="1942"/>
      <c r="H97" s="1796" t="s">
        <v>921</v>
      </c>
      <c r="I97" s="1798"/>
    </row>
    <row r="98" spans="1:9" s="120" customFormat="1" ht="21.75" customHeight="1">
      <c r="A98" s="1959"/>
      <c r="B98" s="1934"/>
      <c r="C98" s="1962"/>
      <c r="D98" s="1943"/>
      <c r="E98" s="1944"/>
      <c r="F98" s="1943"/>
      <c r="G98" s="1944"/>
      <c r="H98" s="1904"/>
      <c r="I98" s="1906"/>
    </row>
    <row r="99" spans="1:9" s="120" customFormat="1" ht="23.25" customHeight="1">
      <c r="A99" s="1959"/>
      <c r="B99" s="1935"/>
      <c r="C99" s="569" t="s">
        <v>426</v>
      </c>
      <c r="D99" s="569" t="s">
        <v>865</v>
      </c>
      <c r="E99" s="1160" t="s">
        <v>866</v>
      </c>
      <c r="F99" s="1161" t="s">
        <v>868</v>
      </c>
      <c r="G99" s="1166" t="s">
        <v>869</v>
      </c>
      <c r="H99" s="1826"/>
      <c r="I99" s="1828"/>
    </row>
    <row r="100" spans="1:9" s="120" customFormat="1" ht="15" customHeight="1">
      <c r="A100" s="489" t="s">
        <v>427</v>
      </c>
      <c r="B100" s="724">
        <f>B101+B102</f>
        <v>222390753</v>
      </c>
      <c r="C100" s="724">
        <f>C101+C102</f>
        <v>222390753</v>
      </c>
      <c r="D100" s="724">
        <f>D101+D102</f>
        <v>126313366.17999999</v>
      </c>
      <c r="E100" s="1173">
        <f>D100/C100*100</f>
        <v>56.79793987657391</v>
      </c>
      <c r="F100" s="1164">
        <f>F101+F102</f>
        <v>126313366.17999999</v>
      </c>
      <c r="G100" s="1170">
        <f>F100/C100*100</f>
        <v>56.79793987657391</v>
      </c>
      <c r="H100" s="1929">
        <f>H101+H102</f>
        <v>0</v>
      </c>
      <c r="I100" s="1930"/>
    </row>
    <row r="101" spans="1:9" s="120" customFormat="1" ht="21" customHeight="1">
      <c r="A101" s="490" t="s">
        <v>428</v>
      </c>
      <c r="B101" s="570">
        <v>28175982</v>
      </c>
      <c r="C101" s="570">
        <v>28175982</v>
      </c>
      <c r="D101" s="554">
        <v>14858404.38</v>
      </c>
      <c r="E101" s="1173">
        <f aca="true" t="shared" si="5" ref="E101:E106">D101/C101*100</f>
        <v>52.73429114200883</v>
      </c>
      <c r="F101" s="1165">
        <v>14858404.38</v>
      </c>
      <c r="G101" s="1171">
        <f aca="true" t="shared" si="6" ref="G101:G106">F101/C101*100</f>
        <v>52.73429114200883</v>
      </c>
      <c r="H101" s="1928"/>
      <c r="I101" s="1769"/>
    </row>
    <row r="102" spans="1:11" s="120" customFormat="1" ht="17.25" customHeight="1">
      <c r="A102" s="490" t="s">
        <v>429</v>
      </c>
      <c r="B102" s="570">
        <v>194214771</v>
      </c>
      <c r="C102" s="570">
        <f>B102</f>
        <v>194214771</v>
      </c>
      <c r="D102" s="554">
        <v>111454961.8</v>
      </c>
      <c r="E102" s="1173">
        <f t="shared" si="5"/>
        <v>57.3874794518075</v>
      </c>
      <c r="F102" s="1165">
        <v>111454961.8</v>
      </c>
      <c r="G102" s="1171">
        <f t="shared" si="6"/>
        <v>57.3874794518075</v>
      </c>
      <c r="H102" s="1928"/>
      <c r="I102" s="1769"/>
      <c r="K102" s="533"/>
    </row>
    <row r="103" spans="1:9" s="120" customFormat="1" ht="16.5" customHeight="1">
      <c r="A103" s="489" t="s">
        <v>430</v>
      </c>
      <c r="B103" s="724">
        <f>B104+B105</f>
        <v>33296164</v>
      </c>
      <c r="C103" s="724">
        <f>C104+C105</f>
        <v>33296164</v>
      </c>
      <c r="D103" s="724">
        <f>D104+D105</f>
        <v>7374000.630000001</v>
      </c>
      <c r="E103" s="1173">
        <f t="shared" si="5"/>
        <v>22.146697229146277</v>
      </c>
      <c r="F103" s="1164">
        <f>F104+F105</f>
        <v>4608750.390000001</v>
      </c>
      <c r="G103" s="1171">
        <f t="shared" si="6"/>
        <v>13.841685756953867</v>
      </c>
      <c r="H103" s="1977">
        <f>H104+H105</f>
        <v>0</v>
      </c>
      <c r="I103" s="1978"/>
    </row>
    <row r="104" spans="1:9" s="120" customFormat="1" ht="15" customHeight="1">
      <c r="A104" s="490" t="s">
        <v>431</v>
      </c>
      <c r="B104" s="570">
        <v>27296164</v>
      </c>
      <c r="C104" s="570">
        <v>27296164</v>
      </c>
      <c r="D104" s="554">
        <v>1843500.15</v>
      </c>
      <c r="E104" s="1173">
        <f t="shared" si="5"/>
        <v>6.753696783181695</v>
      </c>
      <c r="F104" s="1165">
        <v>1843500.15</v>
      </c>
      <c r="G104" s="1171">
        <f t="shared" si="6"/>
        <v>6.753696783181695</v>
      </c>
      <c r="H104" s="1928"/>
      <c r="I104" s="1769"/>
    </row>
    <row r="105" spans="1:9" s="120" customFormat="1" ht="17.25" customHeight="1">
      <c r="A105" s="490" t="s">
        <v>432</v>
      </c>
      <c r="B105" s="570">
        <v>6000000</v>
      </c>
      <c r="C105" s="570">
        <v>6000000</v>
      </c>
      <c r="D105" s="554">
        <v>5530500.48</v>
      </c>
      <c r="E105" s="1173">
        <f t="shared" si="5"/>
        <v>92.175008</v>
      </c>
      <c r="F105" s="1165">
        <v>2765250.24</v>
      </c>
      <c r="G105" s="1172">
        <f t="shared" si="6"/>
        <v>46.087504</v>
      </c>
      <c r="H105" s="1928"/>
      <c r="I105" s="1769"/>
    </row>
    <row r="106" spans="1:9" s="492" customFormat="1" ht="20.25" customHeight="1">
      <c r="A106" s="491" t="s">
        <v>555</v>
      </c>
      <c r="B106" s="571">
        <f>B100+B103</f>
        <v>255686917</v>
      </c>
      <c r="C106" s="571">
        <f>C100+C103</f>
        <v>255686917</v>
      </c>
      <c r="D106" s="1122">
        <f>D100+D103</f>
        <v>133687366.80999999</v>
      </c>
      <c r="E106" s="1174">
        <f t="shared" si="5"/>
        <v>52.28557189337927</v>
      </c>
      <c r="F106" s="1162">
        <f>F100+F103</f>
        <v>130922116.57</v>
      </c>
      <c r="G106" s="1175">
        <f t="shared" si="6"/>
        <v>51.204073366804295</v>
      </c>
      <c r="H106" s="1931">
        <f>H100+H103</f>
        <v>0</v>
      </c>
      <c r="I106" s="1932"/>
    </row>
    <row r="107" spans="1:9" ht="12.75">
      <c r="A107" s="539"/>
      <c r="B107" s="539"/>
      <c r="C107" s="539"/>
      <c r="D107" s="539"/>
      <c r="E107" s="539"/>
      <c r="F107" s="539"/>
      <c r="G107" s="539"/>
      <c r="H107" s="235"/>
      <c r="I107" s="1955"/>
    </row>
    <row r="108" spans="1:9" ht="11.25">
      <c r="A108" s="235"/>
      <c r="B108" s="235"/>
      <c r="C108" s="235"/>
      <c r="D108" s="235"/>
      <c r="E108" s="235"/>
      <c r="F108" s="235"/>
      <c r="G108" s="235"/>
      <c r="H108" s="1229"/>
      <c r="I108" s="1955"/>
    </row>
    <row r="109" spans="1:9" ht="19.5" customHeight="1">
      <c r="A109" s="1960" t="s">
        <v>923</v>
      </c>
      <c r="B109" s="1960"/>
      <c r="C109" s="1960"/>
      <c r="D109" s="1960"/>
      <c r="E109" s="1960"/>
      <c r="F109" s="1961"/>
      <c r="G109" s="1818" t="s">
        <v>270</v>
      </c>
      <c r="H109" s="1819"/>
      <c r="I109" s="1829"/>
    </row>
    <row r="110" spans="1:9" ht="20.25" customHeight="1">
      <c r="A110" s="1803" t="s">
        <v>433</v>
      </c>
      <c r="B110" s="1804"/>
      <c r="C110" s="1804"/>
      <c r="D110" s="1804"/>
      <c r="E110" s="1804"/>
      <c r="F110" s="1805"/>
      <c r="G110" s="1802"/>
      <c r="H110" s="1802"/>
      <c r="I110" s="1802"/>
    </row>
    <row r="111" spans="1:9" ht="20.25" customHeight="1">
      <c r="A111" s="1803" t="s">
        <v>871</v>
      </c>
      <c r="B111" s="1804"/>
      <c r="C111" s="1804"/>
      <c r="D111" s="1804"/>
      <c r="E111" s="1804"/>
      <c r="F111" s="1805"/>
      <c r="G111" s="1815"/>
      <c r="H111" s="1816"/>
      <c r="I111" s="1817"/>
    </row>
    <row r="112" spans="1:9" ht="20.25" customHeight="1">
      <c r="A112" s="1909" t="s">
        <v>872</v>
      </c>
      <c r="B112" s="1909"/>
      <c r="C112" s="1909"/>
      <c r="D112" s="1909"/>
      <c r="E112" s="1909"/>
      <c r="F112" s="1910"/>
      <c r="G112" s="1815"/>
      <c r="H112" s="1816"/>
      <c r="I112" s="1817"/>
    </row>
    <row r="113" spans="1:9" ht="18" customHeight="1">
      <c r="A113" s="1803" t="s">
        <v>434</v>
      </c>
      <c r="B113" s="1804"/>
      <c r="C113" s="1804"/>
      <c r="D113" s="1804"/>
      <c r="E113" s="1804"/>
      <c r="F113" s="1804"/>
      <c r="G113" s="1838"/>
      <c r="H113" s="1838"/>
      <c r="I113" s="1838"/>
    </row>
    <row r="114" spans="1:9" ht="18" customHeight="1">
      <c r="A114" s="1803" t="s">
        <v>873</v>
      </c>
      <c r="B114" s="1804"/>
      <c r="C114" s="1804"/>
      <c r="D114" s="1804"/>
      <c r="E114" s="1804"/>
      <c r="F114" s="1805"/>
      <c r="G114" s="1956"/>
      <c r="H114" s="1957"/>
      <c r="I114" s="1958"/>
    </row>
    <row r="115" spans="1:9" ht="18" customHeight="1">
      <c r="A115" s="1803" t="s">
        <v>874</v>
      </c>
      <c r="B115" s="1804"/>
      <c r="C115" s="1804"/>
      <c r="D115" s="1804"/>
      <c r="E115" s="1804"/>
      <c r="F115" s="1805"/>
      <c r="G115" s="1956"/>
      <c r="H115" s="1957"/>
      <c r="I115" s="1958"/>
    </row>
    <row r="116" spans="1:9" ht="18.75" customHeight="1">
      <c r="A116" s="1803" t="s">
        <v>435</v>
      </c>
      <c r="B116" s="1804"/>
      <c r="C116" s="1804"/>
      <c r="D116" s="1804"/>
      <c r="E116" s="1804"/>
      <c r="F116" s="1804"/>
      <c r="G116" s="1806">
        <f>G110+G113</f>
        <v>0</v>
      </c>
      <c r="H116" s="1807"/>
      <c r="I116" s="1808"/>
    </row>
    <row r="117" spans="1:9" ht="18.75" customHeight="1">
      <c r="A117" s="1835" t="s">
        <v>875</v>
      </c>
      <c r="B117" s="1836"/>
      <c r="C117" s="1836"/>
      <c r="D117" s="1836"/>
      <c r="E117" s="1836"/>
      <c r="F117" s="1836"/>
      <c r="G117" s="1836"/>
      <c r="H117" s="1836"/>
      <c r="I117" s="1837"/>
    </row>
    <row r="118" spans="1:9" ht="18.75" customHeight="1">
      <c r="A118" s="1803" t="s">
        <v>876</v>
      </c>
      <c r="B118" s="1804"/>
      <c r="C118" s="1804"/>
      <c r="D118" s="1804"/>
      <c r="E118" s="1804"/>
      <c r="F118" s="1805"/>
      <c r="G118" s="1806">
        <f>F106+H106-G116</f>
        <v>130922116.57</v>
      </c>
      <c r="H118" s="1807"/>
      <c r="I118" s="1808"/>
    </row>
    <row r="119" spans="1:9" ht="19.5" customHeight="1">
      <c r="A119" s="1803" t="s">
        <v>877</v>
      </c>
      <c r="B119" s="1804"/>
      <c r="C119" s="1804"/>
      <c r="D119" s="1804"/>
      <c r="E119" s="1804"/>
      <c r="F119" s="1805"/>
      <c r="G119" s="1840">
        <f>F100+H100-(G111+G114)/D83*100%</f>
        <v>126313366.17999999</v>
      </c>
      <c r="H119" s="1841"/>
      <c r="I119" s="1842"/>
    </row>
    <row r="120" spans="1:9" ht="19.5" customHeight="1">
      <c r="A120" s="1803" t="s">
        <v>878</v>
      </c>
      <c r="B120" s="1804"/>
      <c r="C120" s="1804"/>
      <c r="D120" s="1804"/>
      <c r="E120" s="1804"/>
      <c r="F120" s="1805"/>
      <c r="G120" s="1806">
        <f>F103+H103-(G112+G115)/D83*100%</f>
        <v>4608750.390000001</v>
      </c>
      <c r="H120" s="1807"/>
      <c r="I120" s="1808"/>
    </row>
    <row r="121" spans="1:9" ht="19.5" customHeight="1">
      <c r="A121" s="1803" t="s">
        <v>879</v>
      </c>
      <c r="B121" s="1804"/>
      <c r="C121" s="1804"/>
      <c r="D121" s="1804"/>
      <c r="E121" s="1804"/>
      <c r="F121" s="1805"/>
      <c r="G121" s="1845">
        <f>100-(G119+G120)%</f>
        <v>-1309121.1657</v>
      </c>
      <c r="H121" s="1841"/>
      <c r="I121" s="1842"/>
    </row>
    <row r="122" spans="1:9" ht="19.5" customHeight="1">
      <c r="A122" s="1833" t="s">
        <v>436</v>
      </c>
      <c r="B122" s="1833"/>
      <c r="C122" s="1833"/>
      <c r="D122" s="1833"/>
      <c r="E122" s="1833"/>
      <c r="F122" s="1833"/>
      <c r="G122" s="1833"/>
      <c r="H122" s="1833"/>
      <c r="I122" s="1834"/>
    </row>
    <row r="123" spans="1:9" ht="20.25" customHeight="1">
      <c r="A123" s="1849" t="s">
        <v>924</v>
      </c>
      <c r="B123" s="1849"/>
      <c r="C123" s="1849"/>
      <c r="D123" s="1850"/>
      <c r="E123" s="1830"/>
      <c r="F123" s="1831"/>
      <c r="G123" s="1831"/>
      <c r="H123" s="1831"/>
      <c r="I123" s="1832"/>
    </row>
    <row r="124" spans="1:9" ht="20.25" customHeight="1">
      <c r="A124" s="1851" t="s">
        <v>880</v>
      </c>
      <c r="B124" s="1851"/>
      <c r="C124" s="1851"/>
      <c r="D124" s="1852"/>
      <c r="E124" s="1860"/>
      <c r="F124" s="1861"/>
      <c r="G124" s="1861"/>
      <c r="H124" s="1861"/>
      <c r="I124" s="1862"/>
    </row>
    <row r="125" spans="1:9" s="235" customFormat="1" ht="20.25" customHeight="1">
      <c r="A125" s="1863" t="s">
        <v>881</v>
      </c>
      <c r="B125" s="1863"/>
      <c r="C125" s="1863"/>
      <c r="D125" s="1863"/>
      <c r="E125" s="1863"/>
      <c r="F125" s="1863"/>
      <c r="G125" s="1863"/>
      <c r="H125" s="1863"/>
      <c r="I125" s="1864"/>
    </row>
    <row r="126" spans="1:9" s="235" customFormat="1" ht="18" customHeight="1">
      <c r="A126" s="307"/>
      <c r="B126" s="207" t="s">
        <v>437</v>
      </c>
      <c r="C126" s="383" t="s">
        <v>437</v>
      </c>
      <c r="D126" s="1857" t="s">
        <v>216</v>
      </c>
      <c r="E126" s="1858"/>
      <c r="F126" s="1858"/>
      <c r="G126" s="1858"/>
      <c r="H126" s="1858"/>
      <c r="I126" s="1859"/>
    </row>
    <row r="127" spans="1:9" s="235" customFormat="1" ht="18" customHeight="1">
      <c r="A127" s="309" t="s">
        <v>438</v>
      </c>
      <c r="B127" s="310" t="s">
        <v>258</v>
      </c>
      <c r="C127" s="310" t="s">
        <v>259</v>
      </c>
      <c r="D127" s="1868" t="s">
        <v>844</v>
      </c>
      <c r="E127" s="1869"/>
      <c r="F127" s="1846" t="s">
        <v>99</v>
      </c>
      <c r="G127" s="1847"/>
      <c r="H127" s="1847"/>
      <c r="I127" s="1848"/>
    </row>
    <row r="128" spans="1:9" ht="18" customHeight="1">
      <c r="A128" s="311"/>
      <c r="B128" s="312"/>
      <c r="C128" s="208" t="s">
        <v>105</v>
      </c>
      <c r="D128" s="1843" t="s">
        <v>106</v>
      </c>
      <c r="E128" s="1844"/>
      <c r="F128" s="1975" t="s">
        <v>439</v>
      </c>
      <c r="G128" s="1979"/>
      <c r="H128" s="1979"/>
      <c r="I128" s="1976"/>
    </row>
    <row r="129" spans="1:9" s="369" customFormat="1" ht="18" customHeight="1">
      <c r="A129" s="313" t="s">
        <v>531</v>
      </c>
      <c r="B129" s="578">
        <f>25%*B53</f>
        <v>445960059.25</v>
      </c>
      <c r="C129" s="578">
        <f>25%*C53</f>
        <v>445960059.25</v>
      </c>
      <c r="D129" s="1855">
        <f>25%*D53</f>
        <v>198466021.49</v>
      </c>
      <c r="E129" s="1856"/>
      <c r="F129" s="1865">
        <f>D129/C129*100</f>
        <v>44.503093354093906</v>
      </c>
      <c r="G129" s="1866"/>
      <c r="H129" s="1866"/>
      <c r="I129" s="1867"/>
    </row>
    <row r="130" spans="1:9" ht="18" customHeight="1">
      <c r="A130" s="212"/>
      <c r="B130" s="207" t="s">
        <v>256</v>
      </c>
      <c r="C130" s="207" t="s">
        <v>256</v>
      </c>
      <c r="D130" s="1627" t="s">
        <v>645</v>
      </c>
      <c r="E130" s="1870"/>
      <c r="F130" s="1857" t="s">
        <v>257</v>
      </c>
      <c r="G130" s="1859"/>
      <c r="H130" s="1796" t="s">
        <v>922</v>
      </c>
      <c r="I130" s="1798"/>
    </row>
    <row r="131" spans="1:9" ht="18" customHeight="1">
      <c r="A131" s="308" t="s">
        <v>440</v>
      </c>
      <c r="B131" s="310" t="s">
        <v>258</v>
      </c>
      <c r="C131" s="310" t="s">
        <v>259</v>
      </c>
      <c r="D131" s="207" t="s">
        <v>103</v>
      </c>
      <c r="E131" s="727" t="s">
        <v>99</v>
      </c>
      <c r="F131" s="207" t="s">
        <v>103</v>
      </c>
      <c r="G131" s="727" t="s">
        <v>99</v>
      </c>
      <c r="H131" s="1904"/>
      <c r="I131" s="1906"/>
    </row>
    <row r="132" spans="1:9" ht="18" customHeight="1">
      <c r="A132" s="493"/>
      <c r="B132" s="312"/>
      <c r="C132" s="208" t="s">
        <v>426</v>
      </c>
      <c r="D132" s="1180" t="s">
        <v>441</v>
      </c>
      <c r="E132" s="1187" t="s">
        <v>442</v>
      </c>
      <c r="F132" s="1180" t="s">
        <v>723</v>
      </c>
      <c r="G132" s="727" t="s">
        <v>888</v>
      </c>
      <c r="H132" s="1826"/>
      <c r="I132" s="1828"/>
    </row>
    <row r="133" spans="1:9" s="369" customFormat="1" ht="18" customHeight="1">
      <c r="A133" s="494" t="s">
        <v>443</v>
      </c>
      <c r="B133" s="553">
        <f>B134+B137</f>
        <v>90313504</v>
      </c>
      <c r="C133" s="553">
        <f>C134+C137</f>
        <v>81606779.44</v>
      </c>
      <c r="D133" s="1183">
        <f>D134+D137</f>
        <v>20503881.68</v>
      </c>
      <c r="E133" s="1188">
        <f>D133/C133*100</f>
        <v>25.125218542750034</v>
      </c>
      <c r="F133" s="1204">
        <f>F134+F137</f>
        <v>19058239.389999997</v>
      </c>
      <c r="G133" s="1188">
        <f>F133/C133*100</f>
        <v>23.353745265749943</v>
      </c>
      <c r="H133" s="1973">
        <f>H135+H136</f>
        <v>0</v>
      </c>
      <c r="I133" s="1789"/>
    </row>
    <row r="134" spans="1:9" s="369" customFormat="1" ht="18" customHeight="1">
      <c r="A134" s="496" t="s">
        <v>884</v>
      </c>
      <c r="B134" s="1177">
        <f>B135+B136</f>
        <v>600146</v>
      </c>
      <c r="C134" s="1177">
        <f>C135+C136</f>
        <v>9700389.91</v>
      </c>
      <c r="D134" s="1184">
        <f>D135+D136</f>
        <v>789233.27</v>
      </c>
      <c r="E134" s="1206">
        <f aca="true" t="shared" si="7" ref="E134:E147">D134/C134*100</f>
        <v>8.136098417924316</v>
      </c>
      <c r="F134" s="1184">
        <f>F135+F136</f>
        <v>789233.27</v>
      </c>
      <c r="G134" s="1206">
        <f aca="true" t="shared" si="8" ref="G134:G147">F134/C134*100</f>
        <v>8.136098417924316</v>
      </c>
      <c r="H134" s="1954"/>
      <c r="I134" s="1795"/>
    </row>
    <row r="135" spans="1:9" ht="15.75" customHeight="1">
      <c r="A135" s="495" t="s">
        <v>882</v>
      </c>
      <c r="B135" s="564">
        <v>600146</v>
      </c>
      <c r="C135" s="564">
        <v>7840389.91</v>
      </c>
      <c r="D135" s="566">
        <v>185289.74</v>
      </c>
      <c r="E135" s="1206">
        <f t="shared" si="7"/>
        <v>2.3632720072208757</v>
      </c>
      <c r="F135" s="1186">
        <v>185289.74</v>
      </c>
      <c r="G135" s="1206">
        <f t="shared" si="8"/>
        <v>2.3632720072208757</v>
      </c>
      <c r="H135" s="1939">
        <f>H101+H104</f>
        <v>0</v>
      </c>
      <c r="I135" s="1926"/>
    </row>
    <row r="136" spans="1:9" ht="17.25" customHeight="1">
      <c r="A136" s="495" t="s">
        <v>883</v>
      </c>
      <c r="B136" s="564"/>
      <c r="C136" s="564">
        <v>1860000</v>
      </c>
      <c r="D136" s="554">
        <v>603943.53</v>
      </c>
      <c r="E136" s="1206"/>
      <c r="F136" s="1186">
        <v>603943.53</v>
      </c>
      <c r="G136" s="1206">
        <f t="shared" si="8"/>
        <v>32.47008225806452</v>
      </c>
      <c r="H136" s="1938"/>
      <c r="I136" s="1786"/>
    </row>
    <row r="137" spans="1:9" s="369" customFormat="1" ht="18" customHeight="1">
      <c r="A137" s="496" t="s">
        <v>885</v>
      </c>
      <c r="B137" s="565">
        <f>B138+B139</f>
        <v>89713358</v>
      </c>
      <c r="C137" s="565">
        <f>C138+C139</f>
        <v>71906389.53</v>
      </c>
      <c r="D137" s="1185">
        <f>D138+D139</f>
        <v>19714648.41</v>
      </c>
      <c r="E137" s="1206">
        <f t="shared" si="7"/>
        <v>27.41710234495207</v>
      </c>
      <c r="F137" s="567">
        <f>F138+F139</f>
        <v>18269006.119999997</v>
      </c>
      <c r="G137" s="1206">
        <f t="shared" si="8"/>
        <v>25.406651953200903</v>
      </c>
      <c r="H137" s="1971">
        <f>H138+H139</f>
        <v>0</v>
      </c>
      <c r="I137" s="1972"/>
    </row>
    <row r="138" spans="1:9" ht="15" customHeight="1">
      <c r="A138" s="495" t="s">
        <v>886</v>
      </c>
      <c r="B138" s="564">
        <v>54872000</v>
      </c>
      <c r="C138" s="564">
        <v>47631756.49</v>
      </c>
      <c r="D138" s="554">
        <v>16516614.79</v>
      </c>
      <c r="E138" s="1206">
        <f t="shared" si="7"/>
        <v>34.67563660699257</v>
      </c>
      <c r="F138" s="554">
        <v>16516614.79</v>
      </c>
      <c r="G138" s="1206">
        <f t="shared" si="8"/>
        <v>34.67563660699257</v>
      </c>
      <c r="H138" s="1938"/>
      <c r="I138" s="1786"/>
    </row>
    <row r="139" spans="1:11" ht="15" customHeight="1">
      <c r="A139" s="495" t="s">
        <v>887</v>
      </c>
      <c r="B139" s="564">
        <v>34841358</v>
      </c>
      <c r="C139" s="564">
        <v>24274633.04</v>
      </c>
      <c r="D139" s="554">
        <v>3198033.62</v>
      </c>
      <c r="E139" s="1206">
        <f t="shared" si="7"/>
        <v>13.17438502460674</v>
      </c>
      <c r="F139" s="1186">
        <v>1752391.33</v>
      </c>
      <c r="G139" s="1206">
        <f t="shared" si="8"/>
        <v>7.219022949234252</v>
      </c>
      <c r="H139" s="1938"/>
      <c r="I139" s="1786"/>
      <c r="K139" s="1384"/>
    </row>
    <row r="140" spans="1:9" s="369" customFormat="1" ht="18" customHeight="1">
      <c r="A140" s="496" t="s">
        <v>444</v>
      </c>
      <c r="B140" s="565">
        <f>B141+B142</f>
        <v>421648254.96000004</v>
      </c>
      <c r="C140" s="565">
        <f>C141+C142</f>
        <v>430354979.96000004</v>
      </c>
      <c r="D140" s="1185">
        <f>D141+D142</f>
        <v>273692854.71000004</v>
      </c>
      <c r="E140" s="1206">
        <f t="shared" si="7"/>
        <v>63.59699955962839</v>
      </c>
      <c r="F140" s="567">
        <f>F141+F142</f>
        <v>213729104.76999998</v>
      </c>
      <c r="G140" s="1206">
        <f t="shared" si="8"/>
        <v>49.66344406886272</v>
      </c>
      <c r="H140" s="1939">
        <f>H141+H142</f>
        <v>0</v>
      </c>
      <c r="I140" s="1926"/>
    </row>
    <row r="141" spans="1:9" ht="18" customHeight="1">
      <c r="A141" s="495" t="s">
        <v>445</v>
      </c>
      <c r="B141" s="564">
        <f>B102+B105</f>
        <v>200214771</v>
      </c>
      <c r="C141" s="564">
        <f>C102+C105</f>
        <v>200214771</v>
      </c>
      <c r="D141" s="566">
        <f>D102+D105</f>
        <v>116985462.28</v>
      </c>
      <c r="E141" s="1206">
        <f t="shared" si="7"/>
        <v>58.42998580759059</v>
      </c>
      <c r="F141" s="1186">
        <f>F102+F105</f>
        <v>114220212.03999999</v>
      </c>
      <c r="G141" s="1206">
        <f t="shared" si="8"/>
        <v>57.04884383380484</v>
      </c>
      <c r="H141" s="1939">
        <f>H102+H105</f>
        <v>0</v>
      </c>
      <c r="I141" s="1926"/>
    </row>
    <row r="142" spans="1:9" ht="15" customHeight="1">
      <c r="A142" s="495" t="s">
        <v>446</v>
      </c>
      <c r="B142" s="564">
        <v>221433483.96</v>
      </c>
      <c r="C142" s="564">
        <v>230140208.96</v>
      </c>
      <c r="D142" s="554">
        <v>156707392.43</v>
      </c>
      <c r="E142" s="1206">
        <f t="shared" si="7"/>
        <v>68.09213963007953</v>
      </c>
      <c r="F142" s="1186">
        <v>99508892.73</v>
      </c>
      <c r="G142" s="1206">
        <f t="shared" si="8"/>
        <v>43.23837767406188</v>
      </c>
      <c r="H142" s="1938"/>
      <c r="I142" s="1786"/>
    </row>
    <row r="143" spans="1:9" s="369" customFormat="1" ht="15" customHeight="1">
      <c r="A143" s="496" t="s">
        <v>447</v>
      </c>
      <c r="B143" s="565"/>
      <c r="C143" s="565"/>
      <c r="D143" s="1185"/>
      <c r="E143" s="1206"/>
      <c r="F143" s="567"/>
      <c r="G143" s="1206"/>
      <c r="H143" s="1938"/>
      <c r="I143" s="1786"/>
    </row>
    <row r="144" spans="1:9" s="369" customFormat="1" ht="15" customHeight="1">
      <c r="A144" s="496" t="s">
        <v>448</v>
      </c>
      <c r="B144" s="565"/>
      <c r="C144" s="565"/>
      <c r="D144" s="1185"/>
      <c r="E144" s="1206"/>
      <c r="F144" s="567"/>
      <c r="G144" s="1206"/>
      <c r="H144" s="1938"/>
      <c r="I144" s="1786"/>
    </row>
    <row r="145" spans="1:9" s="369" customFormat="1" ht="16.5" customHeight="1">
      <c r="A145" s="496" t="s">
        <v>449</v>
      </c>
      <c r="B145" s="565"/>
      <c r="C145" s="565"/>
      <c r="D145" s="1185"/>
      <c r="E145" s="1206"/>
      <c r="F145" s="567"/>
      <c r="G145" s="1206"/>
      <c r="H145" s="1938"/>
      <c r="I145" s="1786"/>
    </row>
    <row r="146" spans="1:9" s="369" customFormat="1" ht="15" customHeight="1">
      <c r="A146" s="598" t="s">
        <v>450</v>
      </c>
      <c r="B146" s="565"/>
      <c r="C146" s="565"/>
      <c r="D146" s="554"/>
      <c r="E146" s="1207"/>
      <c r="F146" s="567"/>
      <c r="G146" s="1207"/>
      <c r="H146" s="1965"/>
      <c r="I146" s="1966"/>
    </row>
    <row r="147" spans="1:9" s="369" customFormat="1" ht="21.75" customHeight="1">
      <c r="A147" s="598" t="s">
        <v>451</v>
      </c>
      <c r="B147" s="568">
        <f>B133+B140+B143+B144+B145+B146</f>
        <v>511961758.96000004</v>
      </c>
      <c r="C147" s="568">
        <f>C133+C140+C143+C144+C145+C146</f>
        <v>511961759.40000004</v>
      </c>
      <c r="D147" s="568">
        <f>D133+D140+D143+D144+D145+D146</f>
        <v>294196736.39000005</v>
      </c>
      <c r="E147" s="560">
        <f t="shared" si="7"/>
        <v>57.464592030230456</v>
      </c>
      <c r="F147" s="1190">
        <f>F133+F140+F143+F144+F145+F146</f>
        <v>232787344.15999997</v>
      </c>
      <c r="G147" s="1205">
        <f t="shared" si="8"/>
        <v>45.469674225828506</v>
      </c>
      <c r="H147" s="1967">
        <f>H133+H140+H143+H144+H145+H146</f>
        <v>0</v>
      </c>
      <c r="I147" s="1968"/>
    </row>
    <row r="148" spans="1:9" ht="10.5" customHeight="1">
      <c r="A148" s="1191"/>
      <c r="B148" s="1191"/>
      <c r="C148" s="1192"/>
      <c r="D148" s="1192"/>
      <c r="E148" s="1945" t="s">
        <v>270</v>
      </c>
      <c r="F148" s="1946"/>
      <c r="G148" s="1946"/>
      <c r="H148" s="1946"/>
      <c r="I148" s="1947"/>
    </row>
    <row r="149" spans="1:9" ht="10.5" customHeight="1">
      <c r="A149" s="1853" t="s">
        <v>452</v>
      </c>
      <c r="B149" s="1853"/>
      <c r="C149" s="1853"/>
      <c r="D149" s="1854"/>
      <c r="E149" s="1948"/>
      <c r="F149" s="1949"/>
      <c r="G149" s="1949"/>
      <c r="H149" s="1949"/>
      <c r="I149" s="1950"/>
    </row>
    <row r="150" spans="1:9" ht="9" customHeight="1">
      <c r="A150" s="1969"/>
      <c r="B150" s="1969"/>
      <c r="C150" s="1969"/>
      <c r="D150" s="1970"/>
      <c r="E150" s="1951"/>
      <c r="F150" s="1952"/>
      <c r="G150" s="1952"/>
      <c r="H150" s="1952"/>
      <c r="I150" s="1953"/>
    </row>
    <row r="151" spans="1:9" ht="18" customHeight="1">
      <c r="A151" s="1872" t="s">
        <v>453</v>
      </c>
      <c r="B151" s="1872"/>
      <c r="C151" s="1872"/>
      <c r="D151" s="1873"/>
      <c r="E151" s="1874">
        <f>D87</f>
        <v>-18350076.190000013</v>
      </c>
      <c r="F151" s="1874"/>
      <c r="G151" s="1874"/>
      <c r="H151" s="1874"/>
      <c r="I151" s="1874"/>
    </row>
    <row r="152" spans="1:9" ht="18" customHeight="1">
      <c r="A152" s="1872" t="s">
        <v>511</v>
      </c>
      <c r="B152" s="1872"/>
      <c r="C152" s="1872"/>
      <c r="D152" s="1873"/>
      <c r="E152" s="1874">
        <v>13780959.59</v>
      </c>
      <c r="F152" s="1874"/>
      <c r="G152" s="1874"/>
      <c r="H152" s="1874"/>
      <c r="I152" s="1874"/>
    </row>
    <row r="153" spans="1:9" ht="18" customHeight="1">
      <c r="A153" s="1872" t="s">
        <v>454</v>
      </c>
      <c r="B153" s="1872"/>
      <c r="C153" s="1872"/>
      <c r="D153" s="1873"/>
      <c r="E153" s="1874">
        <f>D86</f>
        <v>2224014.15</v>
      </c>
      <c r="F153" s="1874"/>
      <c r="G153" s="1874"/>
      <c r="H153" s="1874"/>
      <c r="I153" s="1874"/>
    </row>
    <row r="154" spans="1:9" ht="18" customHeight="1">
      <c r="A154" s="1872" t="s">
        <v>455</v>
      </c>
      <c r="B154" s="1872"/>
      <c r="C154" s="1872"/>
      <c r="D154" s="1873"/>
      <c r="E154" s="1874"/>
      <c r="F154" s="1874"/>
      <c r="G154" s="1874"/>
      <c r="H154" s="1874"/>
      <c r="I154" s="1874"/>
    </row>
    <row r="155" spans="1:9" ht="18" customHeight="1">
      <c r="A155" s="1872" t="s">
        <v>456</v>
      </c>
      <c r="B155" s="1872"/>
      <c r="C155" s="1872"/>
      <c r="D155" s="1873"/>
      <c r="E155" s="1974"/>
      <c r="F155" s="1974"/>
      <c r="G155" s="1974"/>
      <c r="H155" s="1974"/>
      <c r="I155" s="1974"/>
    </row>
    <row r="156" spans="1:9" ht="18" customHeight="1">
      <c r="A156" s="1872" t="s">
        <v>521</v>
      </c>
      <c r="B156" s="1872"/>
      <c r="C156" s="1872"/>
      <c r="D156" s="1873"/>
      <c r="E156" s="1871"/>
      <c r="F156" s="1871"/>
      <c r="G156" s="1871"/>
      <c r="H156" s="1871"/>
      <c r="I156" s="1871"/>
    </row>
    <row r="157" spans="1:9" ht="24.75" customHeight="1">
      <c r="A157" s="1872" t="s">
        <v>457</v>
      </c>
      <c r="B157" s="1872"/>
      <c r="C157" s="1872"/>
      <c r="D157" s="1873"/>
      <c r="E157" s="1871">
        <v>414482.9</v>
      </c>
      <c r="F157" s="1871"/>
      <c r="G157" s="1871"/>
      <c r="H157" s="1871"/>
      <c r="I157" s="1871"/>
    </row>
    <row r="158" spans="1:9" ht="18" customHeight="1">
      <c r="A158" s="1872" t="s">
        <v>512</v>
      </c>
      <c r="B158" s="1872"/>
      <c r="C158" s="1872"/>
      <c r="D158" s="1873"/>
      <c r="E158" s="1874">
        <f>SUM(E151:E157)</f>
        <v>-1930619.5500000129</v>
      </c>
      <c r="F158" s="1874"/>
      <c r="G158" s="1874"/>
      <c r="H158" s="1874"/>
      <c r="I158" s="1874"/>
    </row>
    <row r="159" spans="1:9" ht="18" customHeight="1">
      <c r="A159" s="1872" t="s">
        <v>458</v>
      </c>
      <c r="B159" s="1872"/>
      <c r="C159" s="1872"/>
      <c r="D159" s="1873"/>
      <c r="E159" s="1914">
        <f>F133+H133+F140+H140-E158</f>
        <v>234717963.70999998</v>
      </c>
      <c r="F159" s="1914"/>
      <c r="G159" s="1914"/>
      <c r="H159" s="1914"/>
      <c r="I159" s="1914"/>
    </row>
    <row r="160" spans="1:9" ht="18" customHeight="1">
      <c r="A160" s="1872" t="s">
        <v>459</v>
      </c>
      <c r="B160" s="1872"/>
      <c r="C160" s="1872"/>
      <c r="D160" s="1873"/>
      <c r="E160" s="1914">
        <f>(E159/D53)*100</f>
        <v>29.5665174758676</v>
      </c>
      <c r="F160" s="1914"/>
      <c r="G160" s="1914"/>
      <c r="H160" s="1914"/>
      <c r="I160" s="1914"/>
    </row>
    <row r="161" spans="1:9" s="235" customFormat="1" ht="8.25" customHeight="1">
      <c r="A161" s="314"/>
      <c r="B161" s="314"/>
      <c r="C161" s="314"/>
      <c r="D161" s="314"/>
      <c r="E161" s="315"/>
      <c r="F161" s="315"/>
      <c r="G161" s="1178"/>
      <c r="H161" s="1193"/>
      <c r="I161" s="1179"/>
    </row>
    <row r="162" spans="1:9" s="235" customFormat="1" ht="18" customHeight="1">
      <c r="A162" s="1835" t="s">
        <v>460</v>
      </c>
      <c r="B162" s="1836"/>
      <c r="C162" s="1836"/>
      <c r="D162" s="1836"/>
      <c r="E162" s="1836"/>
      <c r="F162" s="1836"/>
      <c r="G162" s="1836"/>
      <c r="H162" s="1836"/>
      <c r="I162" s="1837"/>
    </row>
    <row r="163" spans="1:9" ht="18" customHeight="1">
      <c r="A163" s="498"/>
      <c r="B163" s="310" t="s">
        <v>256</v>
      </c>
      <c r="C163" s="310" t="s">
        <v>256</v>
      </c>
      <c r="D163" s="1843" t="s">
        <v>645</v>
      </c>
      <c r="E163" s="1869"/>
      <c r="F163" s="1975" t="s">
        <v>257</v>
      </c>
      <c r="G163" s="1976"/>
      <c r="H163" s="1796" t="s">
        <v>896</v>
      </c>
      <c r="I163" s="1798"/>
    </row>
    <row r="164" spans="1:9" ht="18" customHeight="1">
      <c r="A164" s="499" t="s">
        <v>889</v>
      </c>
      <c r="B164" s="310" t="s">
        <v>258</v>
      </c>
      <c r="C164" s="310" t="s">
        <v>259</v>
      </c>
      <c r="D164" s="383" t="s">
        <v>103</v>
      </c>
      <c r="E164" s="1196" t="s">
        <v>99</v>
      </c>
      <c r="F164" s="1194" t="s">
        <v>103</v>
      </c>
      <c r="G164" s="727" t="s">
        <v>99</v>
      </c>
      <c r="H164" s="1904"/>
      <c r="I164" s="1906"/>
    </row>
    <row r="165" spans="1:9" ht="18" customHeight="1">
      <c r="A165" s="493"/>
      <c r="B165" s="312"/>
      <c r="C165" s="208" t="s">
        <v>426</v>
      </c>
      <c r="D165" s="1189" t="s">
        <v>441</v>
      </c>
      <c r="E165" s="1197" t="s">
        <v>442</v>
      </c>
      <c r="F165" s="1195" t="s">
        <v>723</v>
      </c>
      <c r="G165" s="726" t="s">
        <v>888</v>
      </c>
      <c r="H165" s="1826"/>
      <c r="I165" s="1828"/>
    </row>
    <row r="166" spans="1:9" ht="18.75" customHeight="1">
      <c r="A166" s="497" t="s">
        <v>516</v>
      </c>
      <c r="B166" s="572">
        <v>0</v>
      </c>
      <c r="C166" s="572">
        <v>0</v>
      </c>
      <c r="D166" s="554"/>
      <c r="E166" s="1209"/>
      <c r="F166" s="724"/>
      <c r="G166" s="1212"/>
      <c r="H166" s="1846"/>
      <c r="I166" s="1848"/>
    </row>
    <row r="167" spans="1:9" s="369" customFormat="1" ht="18.75" customHeight="1">
      <c r="A167" s="496" t="s">
        <v>515</v>
      </c>
      <c r="B167" s="724">
        <v>4506204</v>
      </c>
      <c r="C167" s="724">
        <f>B167</f>
        <v>4506204</v>
      </c>
      <c r="D167" s="554">
        <v>2691160.48</v>
      </c>
      <c r="E167" s="1210">
        <f>D167/C167*100</f>
        <v>59.72123055236735</v>
      </c>
      <c r="F167" s="724">
        <v>2474882.81</v>
      </c>
      <c r="G167" s="1286">
        <f>F167/C167*100</f>
        <v>54.92167709229321</v>
      </c>
      <c r="H167" s="1963"/>
      <c r="I167" s="1964"/>
    </row>
    <row r="168" spans="1:9" s="369" customFormat="1" ht="18" customHeight="1">
      <c r="A168" s="496" t="s">
        <v>514</v>
      </c>
      <c r="B168" s="724">
        <v>3406450</v>
      </c>
      <c r="C168" s="724">
        <f>B168</f>
        <v>3406450</v>
      </c>
      <c r="D168" s="554"/>
      <c r="E168" s="1210">
        <f>D168/C168*100</f>
        <v>0</v>
      </c>
      <c r="F168" s="724"/>
      <c r="G168" s="1212">
        <f>F168/C168*100</f>
        <v>0</v>
      </c>
      <c r="H168" s="1963"/>
      <c r="I168" s="1964"/>
    </row>
    <row r="169" spans="1:9" s="369" customFormat="1" ht="23.25" customHeight="1">
      <c r="A169" s="496" t="s">
        <v>513</v>
      </c>
      <c r="B169" s="724">
        <v>18843406</v>
      </c>
      <c r="C169" s="724">
        <v>21353911.56</v>
      </c>
      <c r="D169" s="1021">
        <v>13619128.47</v>
      </c>
      <c r="E169" s="1169">
        <f>D169/C169*100</f>
        <v>63.77814402636779</v>
      </c>
      <c r="F169" s="573">
        <v>6043791.02</v>
      </c>
      <c r="G169" s="1212"/>
      <c r="H169" s="1916"/>
      <c r="I169" s="1917"/>
    </row>
    <row r="170" spans="1:9" s="369" customFormat="1" ht="24" customHeight="1">
      <c r="A170" s="500" t="s">
        <v>890</v>
      </c>
      <c r="B170" s="1198">
        <f>B166+B167+B168+B169</f>
        <v>26756060</v>
      </c>
      <c r="C170" s="1198">
        <f>C166+C167+C168+C169</f>
        <v>29266565.56</v>
      </c>
      <c r="D170" s="1199">
        <f>D166+D167+D168+D169</f>
        <v>16310288.950000001</v>
      </c>
      <c r="E170" s="1211">
        <f>D170/C170*100</f>
        <v>55.73010921476911</v>
      </c>
      <c r="F170" s="1200">
        <f>F166+F167+F168+F169</f>
        <v>8518673.83</v>
      </c>
      <c r="G170" s="1287">
        <f>F170/C170*100</f>
        <v>29.107186535214353</v>
      </c>
      <c r="H170" s="1875">
        <f>H166+H167+H168+H169</f>
        <v>0</v>
      </c>
      <c r="I170" s="1876"/>
    </row>
    <row r="171" spans="1:9" s="369" customFormat="1" ht="18" customHeight="1">
      <c r="A171" s="1201" t="s">
        <v>462</v>
      </c>
      <c r="B171" s="1202">
        <f>B147+B170</f>
        <v>538717818.96</v>
      </c>
      <c r="C171" s="1202">
        <f>C147+C170</f>
        <v>541228324.96</v>
      </c>
      <c r="D171" s="1202">
        <f>D147+D170</f>
        <v>310507025.34000003</v>
      </c>
      <c r="E171" s="1208">
        <f>D171/C171*100</f>
        <v>57.37080101322272</v>
      </c>
      <c r="F171" s="1203">
        <f>F147+F170+I147+I170</f>
        <v>241306017.98999998</v>
      </c>
      <c r="G171" s="1213">
        <f>F171/C171*100</f>
        <v>44.584883469990956</v>
      </c>
      <c r="H171" s="1877"/>
      <c r="I171" s="1878"/>
    </row>
    <row r="172" spans="1:9" s="369" customFormat="1" ht="18" customHeight="1">
      <c r="A172" s="1221"/>
      <c r="B172" s="1222"/>
      <c r="C172" s="1222"/>
      <c r="D172" s="1222"/>
      <c r="E172" s="1223"/>
      <c r="F172" s="1224"/>
      <c r="G172" s="556"/>
      <c r="H172" s="552"/>
      <c r="I172" s="1225"/>
    </row>
    <row r="173" spans="1:9" s="369" customFormat="1" ht="18" customHeight="1">
      <c r="A173" s="1782" t="s">
        <v>534</v>
      </c>
      <c r="B173" s="1782"/>
      <c r="C173" s="1782"/>
      <c r="D173" s="1782"/>
      <c r="E173" s="486"/>
      <c r="F173" s="486"/>
      <c r="G173" s="1783"/>
      <c r="H173" s="1783"/>
      <c r="I173" s="1879"/>
    </row>
    <row r="174" spans="1:9" s="369" customFormat="1" ht="18" customHeight="1">
      <c r="A174" s="1782" t="s">
        <v>533</v>
      </c>
      <c r="B174" s="1782"/>
      <c r="C174" s="1782"/>
      <c r="D174" s="1782"/>
      <c r="E174" s="486"/>
      <c r="F174" s="486"/>
      <c r="G174" s="1783"/>
      <c r="H174" s="1783"/>
      <c r="I174" s="1879"/>
    </row>
    <row r="175" spans="1:9" s="369" customFormat="1" ht="18" customHeight="1">
      <c r="A175" s="1839" t="s">
        <v>898</v>
      </c>
      <c r="B175" s="1839"/>
      <c r="C175" s="1839"/>
      <c r="D175" s="1839"/>
      <c r="E175" s="596" t="str">
        <f>'Anexo 1 _ BAL ORC'!H3</f>
        <v>Publicação: Diário Oficial do Município nº 140</v>
      </c>
      <c r="F175" s="486"/>
      <c r="G175" s="486"/>
      <c r="H175" s="486"/>
      <c r="I175" s="1216"/>
    </row>
    <row r="176" spans="1:9" s="369" customFormat="1" ht="18" customHeight="1">
      <c r="A176" s="1782" t="s">
        <v>532</v>
      </c>
      <c r="B176" s="1782"/>
      <c r="C176" s="1782"/>
      <c r="D176" s="1782"/>
      <c r="E176" s="596" t="str">
        <f>E91</f>
        <v>Data:30/07/2015</v>
      </c>
      <c r="F176" s="486"/>
      <c r="G176" s="1783"/>
      <c r="H176" s="1783"/>
      <c r="I176" s="1879"/>
    </row>
    <row r="177" spans="1:9" s="369" customFormat="1" ht="18" customHeight="1">
      <c r="A177" s="1783" t="str">
        <f>A5</f>
        <v>Referência: JANEIRO-JUNHO/2015; BIMESTRE: MAIO-JUNHO/2015</v>
      </c>
      <c r="B177" s="1783"/>
      <c r="C177" s="486"/>
      <c r="D177" s="486"/>
      <c r="E177" s="486"/>
      <c r="F177" s="486"/>
      <c r="G177" s="1783"/>
      <c r="H177" s="1783"/>
      <c r="I177" s="1879"/>
    </row>
    <row r="178" spans="1:9" s="369" customFormat="1" ht="18" customHeight="1">
      <c r="A178" s="467" t="s">
        <v>655</v>
      </c>
      <c r="B178" s="599"/>
      <c r="C178" s="599"/>
      <c r="D178" s="599"/>
      <c r="E178" s="318"/>
      <c r="F178" s="599"/>
      <c r="G178" s="555"/>
      <c r="H178" s="1235" t="s">
        <v>537</v>
      </c>
      <c r="I178" s="1176"/>
    </row>
    <row r="179" spans="1:9" ht="31.5" customHeight="1">
      <c r="A179" s="1182" t="s">
        <v>463</v>
      </c>
      <c r="B179" s="1857" t="s">
        <v>464</v>
      </c>
      <c r="C179" s="1859"/>
      <c r="D179" s="1857" t="s">
        <v>891</v>
      </c>
      <c r="E179" s="1858"/>
      <c r="F179" s="1858"/>
      <c r="G179" s="1858"/>
      <c r="H179" s="1858"/>
      <c r="I179" s="1859"/>
    </row>
    <row r="180" spans="1:9" ht="18" customHeight="1">
      <c r="A180" s="1220" t="s">
        <v>507</v>
      </c>
      <c r="B180" s="1884">
        <f>B181+B182</f>
        <v>0</v>
      </c>
      <c r="C180" s="1767"/>
      <c r="D180" s="1915">
        <f>D181+D182</f>
        <v>0</v>
      </c>
      <c r="E180" s="1915"/>
      <c r="F180" s="1915"/>
      <c r="G180" s="1915"/>
      <c r="H180" s="1915"/>
      <c r="I180" s="1915"/>
    </row>
    <row r="181" spans="1:9" ht="18" customHeight="1">
      <c r="A181" s="1214" t="s">
        <v>892</v>
      </c>
      <c r="B181" s="1911"/>
      <c r="C181" s="1912"/>
      <c r="D181" s="1913"/>
      <c r="E181" s="1913"/>
      <c r="F181" s="1913"/>
      <c r="G181" s="1913"/>
      <c r="H181" s="1913"/>
      <c r="I181" s="1913"/>
    </row>
    <row r="182" spans="1:9" ht="18" customHeight="1">
      <c r="A182" s="1214" t="s">
        <v>893</v>
      </c>
      <c r="B182" s="1911"/>
      <c r="C182" s="1912"/>
      <c r="D182" s="1913"/>
      <c r="E182" s="1913"/>
      <c r="F182" s="1913"/>
      <c r="G182" s="1913"/>
      <c r="H182" s="1913"/>
      <c r="I182" s="1913"/>
    </row>
    <row r="183" spans="1:9" ht="17.25" customHeight="1">
      <c r="A183" s="216"/>
      <c r="B183" s="212"/>
      <c r="C183" s="1215"/>
      <c r="D183" s="212"/>
      <c r="E183" s="212"/>
      <c r="F183" s="212"/>
      <c r="G183" s="1847"/>
      <c r="H183" s="1847"/>
      <c r="I183" s="1848"/>
    </row>
    <row r="184" spans="1:9" ht="12" customHeight="1">
      <c r="A184" s="1883" t="s">
        <v>465</v>
      </c>
      <c r="B184" s="1883"/>
      <c r="C184" s="1883"/>
      <c r="D184" s="1883"/>
      <c r="E184" s="1889" t="s">
        <v>270</v>
      </c>
      <c r="F184" s="1890"/>
      <c r="G184" s="1890"/>
      <c r="H184" s="1890"/>
      <c r="I184" s="1891"/>
    </row>
    <row r="185" spans="1:9" ht="12.75" customHeight="1">
      <c r="A185" s="1883"/>
      <c r="B185" s="1883"/>
      <c r="C185" s="1883"/>
      <c r="D185" s="1883"/>
      <c r="E185" s="1892"/>
      <c r="F185" s="1893"/>
      <c r="G185" s="1893"/>
      <c r="H185" s="1893"/>
      <c r="I185" s="1894"/>
    </row>
    <row r="186" spans="1:9" ht="23.25" customHeight="1">
      <c r="A186" s="602" t="s">
        <v>846</v>
      </c>
      <c r="B186" s="603"/>
      <c r="C186" s="603"/>
      <c r="D186" s="603"/>
      <c r="E186" s="1880">
        <v>13572061.33</v>
      </c>
      <c r="F186" s="1881"/>
      <c r="G186" s="1881"/>
      <c r="H186" s="1881"/>
      <c r="I186" s="1882"/>
    </row>
    <row r="187" spans="1:9" ht="18" customHeight="1">
      <c r="A187" s="1885" t="s">
        <v>556</v>
      </c>
      <c r="B187" s="1885"/>
      <c r="C187" s="1885"/>
      <c r="D187" s="1885"/>
      <c r="E187" s="1886">
        <v>188296129.45</v>
      </c>
      <c r="F187" s="1887"/>
      <c r="G187" s="1887"/>
      <c r="H187" s="1887"/>
      <c r="I187" s="1888"/>
    </row>
    <row r="188" spans="1:9" ht="18" customHeight="1">
      <c r="A188" s="1885" t="s">
        <v>559</v>
      </c>
      <c r="B188" s="1885"/>
      <c r="C188" s="1885"/>
      <c r="D188" s="1885"/>
      <c r="E188" s="1895">
        <f>E189+E190</f>
        <v>139748016.32999998</v>
      </c>
      <c r="F188" s="1896"/>
      <c r="G188" s="1896"/>
      <c r="H188" s="1896"/>
      <c r="I188" s="1897"/>
    </row>
    <row r="189" spans="1:9" ht="18" customHeight="1">
      <c r="A189" s="1167" t="s">
        <v>894</v>
      </c>
      <c r="B189" s="1167"/>
      <c r="C189" s="1167"/>
      <c r="D189" s="1167"/>
      <c r="E189" s="1895">
        <v>130922116.57</v>
      </c>
      <c r="F189" s="1896"/>
      <c r="G189" s="1896"/>
      <c r="H189" s="1896"/>
      <c r="I189" s="1897"/>
    </row>
    <row r="190" spans="1:9" ht="18" customHeight="1">
      <c r="A190" s="1167" t="s">
        <v>895</v>
      </c>
      <c r="B190" s="1167"/>
      <c r="C190" s="1167"/>
      <c r="D190" s="1167"/>
      <c r="E190" s="1895">
        <v>8825899.76</v>
      </c>
      <c r="F190" s="1896"/>
      <c r="G190" s="1896"/>
      <c r="H190" s="1896"/>
      <c r="I190" s="1897"/>
    </row>
    <row r="191" spans="1:9" ht="18" customHeight="1">
      <c r="A191" s="1885" t="s">
        <v>558</v>
      </c>
      <c r="B191" s="1885"/>
      <c r="C191" s="1885"/>
      <c r="D191" s="1885"/>
      <c r="E191" s="1895">
        <f>E153</f>
        <v>2224014.15</v>
      </c>
      <c r="F191" s="1896"/>
      <c r="G191" s="1896"/>
      <c r="H191" s="1896"/>
      <c r="I191" s="1897"/>
    </row>
    <row r="192" spans="1:9" ht="21.75" customHeight="1">
      <c r="A192" s="1908" t="s">
        <v>557</v>
      </c>
      <c r="B192" s="1908"/>
      <c r="C192" s="1908"/>
      <c r="D192" s="1908"/>
      <c r="E192" s="1940">
        <f>E186+E187-E188+E191</f>
        <v>64344188.60000002</v>
      </c>
      <c r="F192" s="1899"/>
      <c r="G192" s="1899"/>
      <c r="H192" s="1899"/>
      <c r="I192" s="1900"/>
    </row>
    <row r="193" spans="1:9" ht="18" customHeight="1">
      <c r="A193" s="174" t="str">
        <f>'[14]Anexo III _ RCL'!A35</f>
        <v>FONTE: SECRETARIA MUNICIPAL DA FAZENDA</v>
      </c>
      <c r="B193" s="212"/>
      <c r="C193" s="314"/>
      <c r="D193" s="314"/>
      <c r="E193" s="551"/>
      <c r="F193" s="551"/>
      <c r="G193" s="1907"/>
      <c r="H193" s="1907"/>
      <c r="I193" s="235"/>
    </row>
    <row r="194" spans="1:8" s="235" customFormat="1" ht="18.75" customHeight="1">
      <c r="A194" s="174" t="str">
        <f>'Anexo 1 _ BAL ORC'!A102</f>
        <v>  São Luís, 30 de Julho de 2015</v>
      </c>
      <c r="B194" s="316"/>
      <c r="C194" s="316"/>
      <c r="D194" s="316"/>
      <c r="E194" s="316"/>
      <c r="F194" s="316"/>
      <c r="G194" s="577"/>
      <c r="H194" s="317"/>
    </row>
    <row r="195" spans="1:8" s="235" customFormat="1" ht="12.75">
      <c r="A195" s="222"/>
      <c r="B195" s="1234"/>
      <c r="C195" s="1234"/>
      <c r="D195" s="1234"/>
      <c r="E195" s="1234"/>
      <c r="F195" s="1234"/>
      <c r="G195" s="550"/>
      <c r="H195" s="550"/>
    </row>
    <row r="196" spans="1:9" ht="12.75">
      <c r="A196" s="320"/>
      <c r="B196" s="318"/>
      <c r="C196" s="316"/>
      <c r="D196" s="318"/>
      <c r="E196" s="318"/>
      <c r="F196" s="318"/>
      <c r="G196" s="318"/>
      <c r="H196" s="318"/>
      <c r="I196" s="235"/>
    </row>
    <row r="197" spans="1:9" ht="12.75">
      <c r="A197" s="320"/>
      <c r="B197" s="318"/>
      <c r="C197" s="316"/>
      <c r="D197" s="318"/>
      <c r="E197" s="318"/>
      <c r="F197" s="318"/>
      <c r="G197" s="318"/>
      <c r="H197" s="318"/>
      <c r="I197" s="235"/>
    </row>
    <row r="198" spans="1:9" ht="19.5" customHeight="1">
      <c r="A198" s="319"/>
      <c r="B198" s="318"/>
      <c r="C198" s="316"/>
      <c r="D198" s="318"/>
      <c r="E198" s="318"/>
      <c r="F198" s="318"/>
      <c r="G198" s="318"/>
      <c r="H198" s="318"/>
      <c r="I198" s="235"/>
    </row>
    <row r="199" spans="1:9" ht="12.75">
      <c r="A199" s="321"/>
      <c r="B199" s="318"/>
      <c r="C199" s="318"/>
      <c r="D199" s="318"/>
      <c r="E199" s="318"/>
      <c r="F199" s="318"/>
      <c r="G199" s="235"/>
      <c r="H199" s="235"/>
      <c r="I199" s="235"/>
    </row>
    <row r="200" spans="2:9" ht="12.75">
      <c r="B200" s="235"/>
      <c r="C200" s="235"/>
      <c r="D200" s="235"/>
      <c r="E200" s="235"/>
      <c r="F200" s="235"/>
      <c r="G200" s="235"/>
      <c r="H200" s="235"/>
      <c r="I200" s="235"/>
    </row>
    <row r="201" spans="2:9" ht="12.75">
      <c r="B201" s="235"/>
      <c r="C201" s="235"/>
      <c r="D201" s="235"/>
      <c r="E201" s="235"/>
      <c r="F201" s="235"/>
      <c r="G201" s="235"/>
      <c r="H201" s="235"/>
      <c r="I201" s="235"/>
    </row>
    <row r="202" spans="2:9" ht="12.75">
      <c r="B202" s="235"/>
      <c r="C202" s="235"/>
      <c r="D202" s="235"/>
      <c r="E202" s="235"/>
      <c r="F202" s="235"/>
      <c r="G202" s="235"/>
      <c r="H202" s="235"/>
      <c r="I202" s="235"/>
    </row>
    <row r="203" spans="2:9" ht="12.75">
      <c r="B203" s="235"/>
      <c r="C203" s="235"/>
      <c r="D203" s="235"/>
      <c r="E203" s="235"/>
      <c r="F203" s="235"/>
      <c r="G203" s="235"/>
      <c r="H203" s="235"/>
      <c r="I203" s="235"/>
    </row>
    <row r="204" spans="2:9" ht="12.75">
      <c r="B204" s="235"/>
      <c r="C204" s="235"/>
      <c r="D204" s="235"/>
      <c r="E204" s="235"/>
      <c r="F204" s="235"/>
      <c r="G204" s="235"/>
      <c r="H204" s="235"/>
      <c r="I204" s="235"/>
    </row>
    <row r="205" spans="2:9" ht="12.75">
      <c r="B205" s="235"/>
      <c r="C205" s="235"/>
      <c r="D205" s="235"/>
      <c r="E205" s="235"/>
      <c r="F205" s="235"/>
      <c r="G205" s="235"/>
      <c r="H205" s="235"/>
      <c r="I205" s="235"/>
    </row>
    <row r="206" spans="2:9" ht="12.75">
      <c r="B206" s="235"/>
      <c r="C206" s="235"/>
      <c r="D206" s="235"/>
      <c r="E206" s="235"/>
      <c r="F206" s="235"/>
      <c r="G206" s="235"/>
      <c r="H206" s="235"/>
      <c r="I206" s="235"/>
    </row>
    <row r="207" spans="2:9" ht="4.5" customHeight="1">
      <c r="B207" s="235"/>
      <c r="C207" s="235"/>
      <c r="D207" s="235"/>
      <c r="E207" s="235"/>
      <c r="F207" s="235"/>
      <c r="G207" s="235"/>
      <c r="H207" s="235"/>
      <c r="I207" s="235"/>
    </row>
    <row r="208" ht="12.75" hidden="1">
      <c r="I208" s="235"/>
    </row>
    <row r="209" ht="12.75" hidden="1">
      <c r="I209" s="235"/>
    </row>
    <row r="210" ht="12.75">
      <c r="I210" s="235"/>
    </row>
  </sheetData>
  <sheetProtection/>
  <mergeCells count="308">
    <mergeCell ref="H167:I167"/>
    <mergeCell ref="E155:I155"/>
    <mergeCell ref="F163:G163"/>
    <mergeCell ref="H103:I103"/>
    <mergeCell ref="H104:I104"/>
    <mergeCell ref="H105:I105"/>
    <mergeCell ref="F128:I128"/>
    <mergeCell ref="H130:I132"/>
    <mergeCell ref="E152:I152"/>
    <mergeCell ref="H143:I143"/>
    <mergeCell ref="H144:I144"/>
    <mergeCell ref="H137:I137"/>
    <mergeCell ref="H138:I138"/>
    <mergeCell ref="H133:I133"/>
    <mergeCell ref="A152:D152"/>
    <mergeCell ref="H136:I136"/>
    <mergeCell ref="H168:I168"/>
    <mergeCell ref="H145:I145"/>
    <mergeCell ref="H146:I146"/>
    <mergeCell ref="H147:I147"/>
    <mergeCell ref="E151:I151"/>
    <mergeCell ref="E153:I153"/>
    <mergeCell ref="D163:E163"/>
    <mergeCell ref="H163:I165"/>
    <mergeCell ref="A150:D150"/>
    <mergeCell ref="E156:I156"/>
    <mergeCell ref="A111:F111"/>
    <mergeCell ref="A114:F114"/>
    <mergeCell ref="A115:F115"/>
    <mergeCell ref="G114:I114"/>
    <mergeCell ref="G115:I115"/>
    <mergeCell ref="G84:I84"/>
    <mergeCell ref="A97:A99"/>
    <mergeCell ref="G109:I109"/>
    <mergeCell ref="A109:F109"/>
    <mergeCell ref="C97:C98"/>
    <mergeCell ref="E192:I192"/>
    <mergeCell ref="D97:E98"/>
    <mergeCell ref="F97:G98"/>
    <mergeCell ref="E158:I158"/>
    <mergeCell ref="E159:I159"/>
    <mergeCell ref="E148:I150"/>
    <mergeCell ref="H134:I134"/>
    <mergeCell ref="H135:I135"/>
    <mergeCell ref="H102:I102"/>
    <mergeCell ref="I107:I108"/>
    <mergeCell ref="G72:I72"/>
    <mergeCell ref="D73:I73"/>
    <mergeCell ref="G74:I74"/>
    <mergeCell ref="G67:I67"/>
    <mergeCell ref="A153:D153"/>
    <mergeCell ref="H139:I139"/>
    <mergeCell ref="H140:I140"/>
    <mergeCell ref="H141:I141"/>
    <mergeCell ref="H142:I142"/>
    <mergeCell ref="D68:F68"/>
    <mergeCell ref="H97:I99"/>
    <mergeCell ref="H101:I101"/>
    <mergeCell ref="H100:I100"/>
    <mergeCell ref="H106:I106"/>
    <mergeCell ref="B97:B99"/>
    <mergeCell ref="G68:I68"/>
    <mergeCell ref="G69:I69"/>
    <mergeCell ref="G70:I70"/>
    <mergeCell ref="G71:I71"/>
    <mergeCell ref="G82:I82"/>
    <mergeCell ref="D64:F64"/>
    <mergeCell ref="D65:F65"/>
    <mergeCell ref="D67:F67"/>
    <mergeCell ref="D66:F66"/>
    <mergeCell ref="D69:F69"/>
    <mergeCell ref="D47:F47"/>
    <mergeCell ref="D48:F48"/>
    <mergeCell ref="D59:F59"/>
    <mergeCell ref="D58:F58"/>
    <mergeCell ref="D49:F49"/>
    <mergeCell ref="G56:I56"/>
    <mergeCell ref="G57:I57"/>
    <mergeCell ref="G52:I52"/>
    <mergeCell ref="G54:I54"/>
    <mergeCell ref="G66:I66"/>
    <mergeCell ref="D60:F60"/>
    <mergeCell ref="D61:F61"/>
    <mergeCell ref="G63:I63"/>
    <mergeCell ref="D62:F62"/>
    <mergeCell ref="D63:F63"/>
    <mergeCell ref="G65:I65"/>
    <mergeCell ref="H166:I166"/>
    <mergeCell ref="H169:I169"/>
    <mergeCell ref="G75:I75"/>
    <mergeCell ref="D74:F75"/>
    <mergeCell ref="D70:F70"/>
    <mergeCell ref="D71:F71"/>
    <mergeCell ref="G85:I85"/>
    <mergeCell ref="G80:I80"/>
    <mergeCell ref="G81:I81"/>
    <mergeCell ref="A112:F112"/>
    <mergeCell ref="B181:C181"/>
    <mergeCell ref="B182:C182"/>
    <mergeCell ref="D181:I181"/>
    <mergeCell ref="D182:I182"/>
    <mergeCell ref="A160:D160"/>
    <mergeCell ref="G173:I173"/>
    <mergeCell ref="E160:I160"/>
    <mergeCell ref="A162:I162"/>
    <mergeCell ref="D180:I180"/>
    <mergeCell ref="D50:F50"/>
    <mergeCell ref="D51:F51"/>
    <mergeCell ref="D52:F52"/>
    <mergeCell ref="D53:F53"/>
    <mergeCell ref="D56:F57"/>
    <mergeCell ref="G193:H193"/>
    <mergeCell ref="G174:I174"/>
    <mergeCell ref="A192:D192"/>
    <mergeCell ref="A187:D187"/>
    <mergeCell ref="A188:D188"/>
    <mergeCell ref="A191:D191"/>
    <mergeCell ref="E187:I187"/>
    <mergeCell ref="G183:I183"/>
    <mergeCell ref="E184:I185"/>
    <mergeCell ref="E191:I191"/>
    <mergeCell ref="E188:I188"/>
    <mergeCell ref="E189:I189"/>
    <mergeCell ref="E190:I190"/>
    <mergeCell ref="D179:I179"/>
    <mergeCell ref="E186:I186"/>
    <mergeCell ref="A184:D185"/>
    <mergeCell ref="B180:C180"/>
    <mergeCell ref="B179:C179"/>
    <mergeCell ref="G177:I177"/>
    <mergeCell ref="A177:B177"/>
    <mergeCell ref="A173:D173"/>
    <mergeCell ref="A174:D174"/>
    <mergeCell ref="H170:I170"/>
    <mergeCell ref="H171:I171"/>
    <mergeCell ref="A175:D175"/>
    <mergeCell ref="G176:I176"/>
    <mergeCell ref="A176:D176"/>
    <mergeCell ref="E157:I157"/>
    <mergeCell ref="A154:D154"/>
    <mergeCell ref="A151:D151"/>
    <mergeCell ref="A159:D159"/>
    <mergeCell ref="A157:D157"/>
    <mergeCell ref="A158:D158"/>
    <mergeCell ref="A155:D155"/>
    <mergeCell ref="A156:D156"/>
    <mergeCell ref="E154:I154"/>
    <mergeCell ref="A124:D124"/>
    <mergeCell ref="A149:D149"/>
    <mergeCell ref="D129:E129"/>
    <mergeCell ref="D126:I126"/>
    <mergeCell ref="E124:I124"/>
    <mergeCell ref="A125:I125"/>
    <mergeCell ref="F129:I129"/>
    <mergeCell ref="D127:E127"/>
    <mergeCell ref="D130:E130"/>
    <mergeCell ref="F130:G130"/>
    <mergeCell ref="G118:I118"/>
    <mergeCell ref="A120:F120"/>
    <mergeCell ref="A121:F121"/>
    <mergeCell ref="G119:I119"/>
    <mergeCell ref="D128:E128"/>
    <mergeCell ref="A119:F119"/>
    <mergeCell ref="G120:I120"/>
    <mergeCell ref="G121:I121"/>
    <mergeCell ref="F127:I127"/>
    <mergeCell ref="A123:D123"/>
    <mergeCell ref="A73:A75"/>
    <mergeCell ref="A88:D88"/>
    <mergeCell ref="A89:D89"/>
    <mergeCell ref="A90:D90"/>
    <mergeCell ref="G77:I77"/>
    <mergeCell ref="G78:I78"/>
    <mergeCell ref="G83:I83"/>
    <mergeCell ref="D82:F82"/>
    <mergeCell ref="D83:F83"/>
    <mergeCell ref="G79:I79"/>
    <mergeCell ref="B73:B74"/>
    <mergeCell ref="C73:C74"/>
    <mergeCell ref="D55:I55"/>
    <mergeCell ref="E123:I123"/>
    <mergeCell ref="G111:I111"/>
    <mergeCell ref="A122:I122"/>
    <mergeCell ref="A117:I117"/>
    <mergeCell ref="A118:F118"/>
    <mergeCell ref="G58:I58"/>
    <mergeCell ref="G113:I113"/>
    <mergeCell ref="A1:G1"/>
    <mergeCell ref="A2:G2"/>
    <mergeCell ref="A6:G6"/>
    <mergeCell ref="A5:B5"/>
    <mergeCell ref="A8:A10"/>
    <mergeCell ref="B8:B10"/>
    <mergeCell ref="C8:C9"/>
    <mergeCell ref="D9:F9"/>
    <mergeCell ref="D10:F10"/>
    <mergeCell ref="G10:I10"/>
    <mergeCell ref="D8:I8"/>
    <mergeCell ref="G11:I11"/>
    <mergeCell ref="G12:I12"/>
    <mergeCell ref="G13:I13"/>
    <mergeCell ref="D45:F45"/>
    <mergeCell ref="D46:F46"/>
    <mergeCell ref="D19:F19"/>
    <mergeCell ref="D20:F20"/>
    <mergeCell ref="D21:F21"/>
    <mergeCell ref="D22:F22"/>
    <mergeCell ref="A110:F110"/>
    <mergeCell ref="A113:F113"/>
    <mergeCell ref="G116:I116"/>
    <mergeCell ref="G76:I76"/>
    <mergeCell ref="A55:A57"/>
    <mergeCell ref="B55:B56"/>
    <mergeCell ref="C55:C56"/>
    <mergeCell ref="G112:I112"/>
    <mergeCell ref="A116:F116"/>
    <mergeCell ref="D84:F84"/>
    <mergeCell ref="G16:I16"/>
    <mergeCell ref="G17:I17"/>
    <mergeCell ref="G18:I18"/>
    <mergeCell ref="G19:I19"/>
    <mergeCell ref="G110:I110"/>
    <mergeCell ref="G59:I59"/>
    <mergeCell ref="G60:I60"/>
    <mergeCell ref="G61:I61"/>
    <mergeCell ref="G62:I62"/>
    <mergeCell ref="G64:I64"/>
    <mergeCell ref="G28:I28"/>
    <mergeCell ref="G29:I29"/>
    <mergeCell ref="G30:I30"/>
    <mergeCell ref="G31:I31"/>
    <mergeCell ref="G20:I20"/>
    <mergeCell ref="G21:I21"/>
    <mergeCell ref="G22:I22"/>
    <mergeCell ref="G23:I23"/>
    <mergeCell ref="G24:I24"/>
    <mergeCell ref="G25:I25"/>
    <mergeCell ref="G32:I32"/>
    <mergeCell ref="G33:I33"/>
    <mergeCell ref="G34:I34"/>
    <mergeCell ref="G35:I35"/>
    <mergeCell ref="G36:I36"/>
    <mergeCell ref="G37:I37"/>
    <mergeCell ref="G46:I46"/>
    <mergeCell ref="G47:I47"/>
    <mergeCell ref="G48:I48"/>
    <mergeCell ref="G49:I49"/>
    <mergeCell ref="G38:I38"/>
    <mergeCell ref="G39:I39"/>
    <mergeCell ref="G40:I40"/>
    <mergeCell ref="G41:I41"/>
    <mergeCell ref="G42:I42"/>
    <mergeCell ref="G43:I43"/>
    <mergeCell ref="G53:I53"/>
    <mergeCell ref="D12:F12"/>
    <mergeCell ref="D11:F11"/>
    <mergeCell ref="D13:F13"/>
    <mergeCell ref="D16:F16"/>
    <mergeCell ref="D17:F17"/>
    <mergeCell ref="D18:F18"/>
    <mergeCell ref="G44:I44"/>
    <mergeCell ref="G45:I45"/>
    <mergeCell ref="D25:F25"/>
    <mergeCell ref="G9:I9"/>
    <mergeCell ref="D14:F14"/>
    <mergeCell ref="D15:F15"/>
    <mergeCell ref="G14:I14"/>
    <mergeCell ref="G15:I15"/>
    <mergeCell ref="D27:F27"/>
    <mergeCell ref="D23:F23"/>
    <mergeCell ref="D24:F24"/>
    <mergeCell ref="G26:I26"/>
    <mergeCell ref="G27:I27"/>
    <mergeCell ref="D26:F26"/>
    <mergeCell ref="D30:F30"/>
    <mergeCell ref="D31:F31"/>
    <mergeCell ref="D32:F32"/>
    <mergeCell ref="D39:F39"/>
    <mergeCell ref="D28:F28"/>
    <mergeCell ref="D29:F29"/>
    <mergeCell ref="D35:F35"/>
    <mergeCell ref="D36:F36"/>
    <mergeCell ref="D40:F40"/>
    <mergeCell ref="D41:F41"/>
    <mergeCell ref="D33:F33"/>
    <mergeCell ref="D34:F34"/>
    <mergeCell ref="D42:F42"/>
    <mergeCell ref="D43:F43"/>
    <mergeCell ref="D37:F37"/>
    <mergeCell ref="D38:F38"/>
    <mergeCell ref="D44:F44"/>
    <mergeCell ref="G87:I87"/>
    <mergeCell ref="D76:F76"/>
    <mergeCell ref="D77:F77"/>
    <mergeCell ref="D78:F78"/>
    <mergeCell ref="D79:F79"/>
    <mergeCell ref="D80:F80"/>
    <mergeCell ref="D81:F81"/>
    <mergeCell ref="G50:I50"/>
    <mergeCell ref="G51:I51"/>
    <mergeCell ref="D85:F85"/>
    <mergeCell ref="D86:F86"/>
    <mergeCell ref="D87:F87"/>
    <mergeCell ref="E95:I95"/>
    <mergeCell ref="E94:I94"/>
    <mergeCell ref="G86:I86"/>
    <mergeCell ref="A91:D91"/>
    <mergeCell ref="A92:B92"/>
  </mergeCells>
  <printOptions horizontalCentered="1"/>
  <pageMargins left="0.31496062992125984" right="0.31496062992125984" top="0.2362204724409449" bottom="0.15748031496062992" header="0.1968503937007874" footer="0.1968503937007874"/>
  <pageSetup fitToHeight="3" fitToWidth="3" horizontalDpi="600" verticalDpi="600" orientation="portrait" paperSize="9" scale="55" r:id="rId2"/>
  <rowBreaks count="2" manualBreakCount="2">
    <brk id="87" max="255" man="1"/>
    <brk id="172" max="255" man="1"/>
  </rowBreaks>
  <ignoredErrors>
    <ignoredError sqref="D12 C83:D83 C103:D103 C59" formula="1"/>
    <ignoredError sqref="G106 G171" evalError="1"/>
    <ignoredError sqref="B4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Durval Ferreira Bezerra Filho</dc:creator>
  <cp:keywords/>
  <dc:description/>
  <cp:lastModifiedBy>Lutero</cp:lastModifiedBy>
  <cp:lastPrinted>2015-07-30T11:33:40Z</cp:lastPrinted>
  <dcterms:created xsi:type="dcterms:W3CDTF">2010-04-09T15:53:13Z</dcterms:created>
  <dcterms:modified xsi:type="dcterms:W3CDTF">2015-07-30T16:58:43Z</dcterms:modified>
  <cp:category/>
  <cp:version/>
  <cp:contentType/>
  <cp:contentStatus/>
</cp:coreProperties>
</file>